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constantine/Downloads/"/>
    </mc:Choice>
  </mc:AlternateContent>
  <xr:revisionPtr revIDLastSave="0" documentId="8_{BB749565-0DAD-F148-9391-E0D7B41308DF}" xr6:coauthVersionLast="47" xr6:coauthVersionMax="47" xr10:uidLastSave="{00000000-0000-0000-0000-000000000000}"/>
  <bookViews>
    <workbookView xWindow="0" yWindow="460" windowWidth="19420" windowHeight="10420" tabRatio="998" firstSheet="1" activeTab="2" xr2:uid="{00000000-000D-0000-FFFF-FFFF00000000}"/>
  </bookViews>
  <sheets>
    <sheet name="1. Facility" sheetId="4" r:id="rId1"/>
    <sheet name="2. Report" sheetId="11" r:id="rId2"/>
    <sheet name="3a. Mobile Sources" sheetId="22" r:id="rId3"/>
    <sheet name="3b. Mobile Source Factors" sheetId="23" r:id="rId4"/>
    <sheet name="4a. Stationary  Combustion" sheetId="21" r:id="rId5"/>
    <sheet name="4b. Stationary Comb. Factors" sheetId="24" r:id="rId6"/>
    <sheet name="5. Blasting-Tier C" sheetId="12" r:id="rId7"/>
    <sheet name="6a. Purchased Power Tier B" sheetId="3" r:id="rId8"/>
    <sheet name="6b. eGRID Map" sheetId="16" r:id="rId9"/>
    <sheet name="6c. eGRID2007 Data" sheetId="15" r:id="rId10"/>
    <sheet name="7a. HFC, PFC Tier C Screen" sheetId="17" r:id="rId11"/>
    <sheet name="7B HFC, PFC GWPs" sheetId="19" r:id="rId12"/>
    <sheet name="7C GWPs Blends" sheetId="25" r:id="rId13"/>
  </sheets>
  <externalReferences>
    <externalReference r:id="rId14"/>
  </externalReferences>
  <definedNames>
    <definedName name="GWPtable">'[1]Table 1. GWPs'!$C$5:$D$60</definedName>
    <definedName name="_xlnm.Print_Area" localSheetId="0">'1. Facility'!$A$1:$U$18</definedName>
    <definedName name="_xlnm.Print_Area" localSheetId="1">'2. Report'!$A$1:$X$62</definedName>
    <definedName name="_xlnm.Print_Area" localSheetId="7">'6a. Purchased Power Tier B'!$A$1:$P$40</definedName>
    <definedName name="_xlnm.Print_Titles" localSheetId="1">'2. Report'!$1:$7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1" l="1"/>
  <c r="G17" i="24" l="1"/>
  <c r="K48" i="11"/>
  <c r="L48" i="11"/>
  <c r="K43" i="11"/>
  <c r="L43" i="11"/>
  <c r="J53" i="11"/>
  <c r="J48" i="11"/>
  <c r="J43" i="11"/>
  <c r="J38" i="11"/>
  <c r="J33" i="11"/>
  <c r="J28" i="11"/>
  <c r="J30" i="12"/>
  <c r="F149" i="21"/>
  <c r="F148" i="21"/>
  <c r="F147" i="21"/>
  <c r="F146" i="21"/>
  <c r="F145" i="21"/>
  <c r="F144" i="21"/>
  <c r="F143" i="21"/>
  <c r="F142" i="21"/>
  <c r="F141" i="21"/>
  <c r="F136" i="21"/>
  <c r="F135" i="21"/>
  <c r="F134" i="21"/>
  <c r="F133" i="21"/>
  <c r="F132" i="21"/>
  <c r="F131" i="21"/>
  <c r="F130" i="21"/>
  <c r="F129" i="21"/>
  <c r="F128" i="21"/>
  <c r="F123" i="21"/>
  <c r="F122" i="21"/>
  <c r="F121" i="21"/>
  <c r="F120" i="21"/>
  <c r="F119" i="21"/>
  <c r="F118" i="21"/>
  <c r="F117" i="21"/>
  <c r="F116" i="21"/>
  <c r="F115" i="21"/>
  <c r="F110" i="21"/>
  <c r="F109" i="21"/>
  <c r="F108" i="21"/>
  <c r="F107" i="21"/>
  <c r="F106" i="21"/>
  <c r="F105" i="21"/>
  <c r="F104" i="21"/>
  <c r="F103" i="21"/>
  <c r="F102" i="21"/>
  <c r="F97" i="21"/>
  <c r="F96" i="21"/>
  <c r="F95" i="21"/>
  <c r="F94" i="21"/>
  <c r="F93" i="21"/>
  <c r="F92" i="21"/>
  <c r="F91" i="21"/>
  <c r="F90" i="21"/>
  <c r="F89" i="21"/>
  <c r="F84" i="21"/>
  <c r="F83" i="21"/>
  <c r="F82" i="21"/>
  <c r="F81" i="21"/>
  <c r="F80" i="21"/>
  <c r="F79" i="21"/>
  <c r="F78" i="21"/>
  <c r="F77" i="21"/>
  <c r="F76" i="21"/>
  <c r="F71" i="21"/>
  <c r="F70" i="21"/>
  <c r="F69" i="21"/>
  <c r="F68" i="21"/>
  <c r="F67" i="21"/>
  <c r="F66" i="21"/>
  <c r="F65" i="21"/>
  <c r="F64" i="21"/>
  <c r="F63" i="21"/>
  <c r="F58" i="21"/>
  <c r="F57" i="21"/>
  <c r="G57" i="21"/>
  <c r="F56" i="21"/>
  <c r="F55" i="21"/>
  <c r="F54" i="21"/>
  <c r="F53" i="21"/>
  <c r="G53" i="21"/>
  <c r="F52" i="21"/>
  <c r="F51" i="21"/>
  <c r="F50" i="21"/>
  <c r="F45" i="21"/>
  <c r="F44" i="21"/>
  <c r="F43" i="21"/>
  <c r="F42" i="21"/>
  <c r="F41" i="21"/>
  <c r="F40" i="21"/>
  <c r="F39" i="21"/>
  <c r="F38" i="21"/>
  <c r="F37" i="21"/>
  <c r="G37" i="21"/>
  <c r="K37" i="21"/>
  <c r="L37" i="21"/>
  <c r="F32" i="21"/>
  <c r="F31" i="21"/>
  <c r="F30" i="21"/>
  <c r="F29" i="21"/>
  <c r="G29" i="21"/>
  <c r="F28" i="21"/>
  <c r="F27" i="21"/>
  <c r="F26" i="21"/>
  <c r="G26" i="21"/>
  <c r="F25" i="21"/>
  <c r="G25" i="21"/>
  <c r="F24" i="21"/>
  <c r="G149" i="21"/>
  <c r="G148" i="21"/>
  <c r="G147" i="21"/>
  <c r="G146" i="21"/>
  <c r="G145" i="21"/>
  <c r="G144" i="21"/>
  <c r="G143" i="21"/>
  <c r="G142" i="21"/>
  <c r="G141" i="21"/>
  <c r="G136" i="21"/>
  <c r="G135" i="21"/>
  <c r="G134" i="21"/>
  <c r="G133" i="21"/>
  <c r="G132" i="21"/>
  <c r="G131" i="21"/>
  <c r="G130" i="21"/>
  <c r="G129" i="21"/>
  <c r="G128" i="21"/>
  <c r="G123" i="21"/>
  <c r="G122" i="21"/>
  <c r="G121" i="21"/>
  <c r="G120" i="21"/>
  <c r="G119" i="21"/>
  <c r="G118" i="21"/>
  <c r="G117" i="21"/>
  <c r="G116" i="21"/>
  <c r="G115" i="21"/>
  <c r="G110" i="21"/>
  <c r="G109" i="21"/>
  <c r="G108" i="21"/>
  <c r="G107" i="21"/>
  <c r="G106" i="21"/>
  <c r="G105" i="21"/>
  <c r="G104" i="21"/>
  <c r="G103" i="21"/>
  <c r="G102" i="21"/>
  <c r="G97" i="21"/>
  <c r="G96" i="21"/>
  <c r="G95" i="21"/>
  <c r="G94" i="21"/>
  <c r="G93" i="21"/>
  <c r="G92" i="21"/>
  <c r="G91" i="21"/>
  <c r="G90" i="21"/>
  <c r="G89" i="21"/>
  <c r="G84" i="21"/>
  <c r="G83" i="21"/>
  <c r="G82" i="21"/>
  <c r="G81" i="21"/>
  <c r="G80" i="21"/>
  <c r="G79" i="21"/>
  <c r="G78" i="21"/>
  <c r="G77" i="21"/>
  <c r="G76" i="21"/>
  <c r="G71" i="21"/>
  <c r="G70" i="21"/>
  <c r="G69" i="21"/>
  <c r="G68" i="21"/>
  <c r="G67" i="21"/>
  <c r="G66" i="21"/>
  <c r="G65" i="21"/>
  <c r="G64" i="21"/>
  <c r="G63" i="21"/>
  <c r="G58" i="21"/>
  <c r="G56" i="21"/>
  <c r="G55" i="21"/>
  <c r="G54" i="21"/>
  <c r="G52" i="21"/>
  <c r="G51" i="21"/>
  <c r="I51" i="21"/>
  <c r="G50" i="21"/>
  <c r="G45" i="21"/>
  <c r="G44" i="21"/>
  <c r="G43" i="21"/>
  <c r="G42" i="21"/>
  <c r="G41" i="21"/>
  <c r="G40" i="21"/>
  <c r="G39" i="21"/>
  <c r="G38" i="21"/>
  <c r="G27" i="21"/>
  <c r="G28" i="21"/>
  <c r="G30" i="21"/>
  <c r="G31" i="21"/>
  <c r="G32" i="21"/>
  <c r="I24" i="21"/>
  <c r="K26" i="3"/>
  <c r="L26" i="3"/>
  <c r="L24" i="3"/>
  <c r="J24" i="3"/>
  <c r="G26" i="3"/>
  <c r="H26" i="3"/>
  <c r="H24" i="3"/>
  <c r="K25" i="3"/>
  <c r="L25" i="3"/>
  <c r="K27" i="3"/>
  <c r="I27" i="3"/>
  <c r="I25" i="3"/>
  <c r="J25" i="3"/>
  <c r="G27" i="3"/>
  <c r="G25" i="3"/>
  <c r="H25" i="3"/>
  <c r="N24" i="12"/>
  <c r="N25" i="12"/>
  <c r="N26" i="12"/>
  <c r="N27" i="12"/>
  <c r="N28" i="12"/>
  <c r="N29" i="12"/>
  <c r="N30" i="12"/>
  <c r="N31" i="12"/>
  <c r="N32" i="12"/>
  <c r="P32" i="12"/>
  <c r="N23" i="12"/>
  <c r="P23" i="12" s="1"/>
  <c r="G24" i="12"/>
  <c r="J24" i="12"/>
  <c r="Q24" i="12" s="1"/>
  <c r="C8" i="12" s="1"/>
  <c r="E15" i="11" s="1"/>
  <c r="G25" i="12"/>
  <c r="J25" i="12"/>
  <c r="Q25" i="12" s="1"/>
  <c r="C9" i="12" s="1"/>
  <c r="E20" i="11" s="1"/>
  <c r="G26" i="12"/>
  <c r="J26" i="12" s="1"/>
  <c r="G27" i="12"/>
  <c r="J27" i="12"/>
  <c r="G28" i="12"/>
  <c r="J28" i="12"/>
  <c r="G29" i="12"/>
  <c r="J29" i="12"/>
  <c r="G30" i="12"/>
  <c r="G31" i="12"/>
  <c r="J31" i="12" s="1"/>
  <c r="G32" i="12"/>
  <c r="J32" i="12"/>
  <c r="Q32" i="12" s="1"/>
  <c r="C16" i="12" s="1"/>
  <c r="E55" i="11" s="1"/>
  <c r="G23" i="12"/>
  <c r="J23" i="12" s="1"/>
  <c r="B11" i="17"/>
  <c r="B7" i="17"/>
  <c r="A23" i="17" s="1"/>
  <c r="C9" i="3"/>
  <c r="B26" i="3" s="1"/>
  <c r="B9" i="12"/>
  <c r="B25" i="12" s="1"/>
  <c r="A24" i="21"/>
  <c r="A43" i="22"/>
  <c r="A92" i="22" s="1"/>
  <c r="A113" i="22" s="1"/>
  <c r="A134" i="22" s="1"/>
  <c r="A25" i="22"/>
  <c r="B16" i="17"/>
  <c r="A158" i="17"/>
  <c r="B15" i="17"/>
  <c r="A143" i="17"/>
  <c r="B14" i="17"/>
  <c r="A128" i="17"/>
  <c r="B13" i="17"/>
  <c r="A113" i="17"/>
  <c r="B12" i="17"/>
  <c r="A98" i="17"/>
  <c r="A83" i="17"/>
  <c r="B10" i="17"/>
  <c r="A68" i="17" s="1"/>
  <c r="B9" i="17"/>
  <c r="A53" i="17" s="1"/>
  <c r="B8" i="17"/>
  <c r="A38" i="17" s="1"/>
  <c r="M30" i="3"/>
  <c r="D13" i="3" s="1"/>
  <c r="E42" i="11" s="1"/>
  <c r="C8" i="3"/>
  <c r="B25" i="3" s="1"/>
  <c r="C10" i="3"/>
  <c r="B27" i="3"/>
  <c r="C11" i="3"/>
  <c r="B28" i="3" s="1"/>
  <c r="C12" i="3"/>
  <c r="B29" i="3" s="1"/>
  <c r="C13" i="3"/>
  <c r="B30" i="3" s="1"/>
  <c r="C14" i="3"/>
  <c r="B31" i="3" s="1"/>
  <c r="C15" i="3"/>
  <c r="B32" i="3" s="1"/>
  <c r="C16" i="3"/>
  <c r="B33" i="3"/>
  <c r="C7" i="3"/>
  <c r="B24" i="3" s="1"/>
  <c r="B16" i="12"/>
  <c r="B32" i="12" s="1"/>
  <c r="O32" i="12"/>
  <c r="B8" i="12"/>
  <c r="B24" i="12"/>
  <c r="B10" i="12"/>
  <c r="B26" i="12"/>
  <c r="B11" i="12"/>
  <c r="B27" i="12"/>
  <c r="B12" i="12"/>
  <c r="B28" i="12" s="1"/>
  <c r="B13" i="12"/>
  <c r="B29" i="12"/>
  <c r="B14" i="12"/>
  <c r="B30" i="12"/>
  <c r="B15" i="12"/>
  <c r="B31" i="12"/>
  <c r="B7" i="12"/>
  <c r="B23" i="12"/>
  <c r="C9" i="21"/>
  <c r="C10" i="21"/>
  <c r="C11" i="21"/>
  <c r="C12" i="21"/>
  <c r="C13" i="21"/>
  <c r="C14" i="21"/>
  <c r="C15" i="21"/>
  <c r="C16" i="21"/>
  <c r="C17" i="21"/>
  <c r="C8" i="21"/>
  <c r="A8" i="22"/>
  <c r="A9" i="22"/>
  <c r="A10" i="22"/>
  <c r="A11" i="22"/>
  <c r="A12" i="22"/>
  <c r="A13" i="22"/>
  <c r="A14" i="22"/>
  <c r="A15" i="22"/>
  <c r="A16" i="22"/>
  <c r="A7" i="22"/>
  <c r="A141" i="21"/>
  <c r="A128" i="21"/>
  <c r="A115" i="21"/>
  <c r="A102" i="21"/>
  <c r="A89" i="21"/>
  <c r="A76" i="21"/>
  <c r="A63" i="21"/>
  <c r="A50" i="21"/>
  <c r="A37" i="21"/>
  <c r="A79" i="22"/>
  <c r="A104" i="22" s="1"/>
  <c r="A125" i="22" s="1"/>
  <c r="A146" i="22" s="1"/>
  <c r="A73" i="22"/>
  <c r="A102" i="22" s="1"/>
  <c r="A123" i="22" s="1"/>
  <c r="A144" i="22" s="1"/>
  <c r="A67" i="22"/>
  <c r="A100" i="22"/>
  <c r="A121" i="22" s="1"/>
  <c r="A142" i="22" s="1"/>
  <c r="A61" i="22"/>
  <c r="A98" i="22"/>
  <c r="A119" i="22" s="1"/>
  <c r="A140" i="22" s="1"/>
  <c r="A55" i="22"/>
  <c r="A96" i="22" s="1"/>
  <c r="A117" i="22"/>
  <c r="A138" i="22" s="1"/>
  <c r="A49" i="22"/>
  <c r="A94" i="22"/>
  <c r="A115" i="22" s="1"/>
  <c r="A136" i="22" s="1"/>
  <c r="A37" i="22"/>
  <c r="A90" i="22"/>
  <c r="A111" i="22" s="1"/>
  <c r="A132" i="22"/>
  <c r="A31" i="22"/>
  <c r="A88" i="22"/>
  <c r="A109" i="22"/>
  <c r="A130" i="22" s="1"/>
  <c r="A86" i="22"/>
  <c r="A107" i="22" s="1"/>
  <c r="A128" i="22" s="1"/>
  <c r="B53" i="11"/>
  <c r="B48" i="11"/>
  <c r="B43" i="11"/>
  <c r="B38" i="11"/>
  <c r="B33" i="11"/>
  <c r="B28" i="11"/>
  <c r="B23" i="11"/>
  <c r="B18" i="11"/>
  <c r="B13" i="11"/>
  <c r="B8" i="11"/>
  <c r="P152" i="21"/>
  <c r="P151" i="21"/>
  <c r="P150" i="21"/>
  <c r="P149" i="21"/>
  <c r="P148" i="21"/>
  <c r="P147" i="21"/>
  <c r="P146" i="21"/>
  <c r="P145" i="21"/>
  <c r="P144" i="21"/>
  <c r="P143" i="21"/>
  <c r="P142" i="21"/>
  <c r="P141" i="21"/>
  <c r="P139" i="21"/>
  <c r="P138" i="21"/>
  <c r="P137" i="21"/>
  <c r="P136" i="21"/>
  <c r="P135" i="21"/>
  <c r="P134" i="21"/>
  <c r="P133" i="21"/>
  <c r="P140" i="21" s="1"/>
  <c r="D16" i="21" s="1"/>
  <c r="E49" i="11" s="1"/>
  <c r="P132" i="21"/>
  <c r="P131" i="21"/>
  <c r="P130" i="21"/>
  <c r="P129" i="21"/>
  <c r="P128" i="21"/>
  <c r="P126" i="21"/>
  <c r="P125" i="21"/>
  <c r="P124" i="21"/>
  <c r="P123" i="21"/>
  <c r="P122" i="21"/>
  <c r="P121" i="21"/>
  <c r="P120" i="21"/>
  <c r="P119" i="21"/>
  <c r="P118" i="21"/>
  <c r="P117" i="21"/>
  <c r="P116" i="21"/>
  <c r="P115" i="21"/>
  <c r="P113" i="21"/>
  <c r="P112" i="21"/>
  <c r="P111" i="21"/>
  <c r="P110" i="21"/>
  <c r="P109" i="21"/>
  <c r="P108" i="21"/>
  <c r="P107" i="21"/>
  <c r="P106" i="21"/>
  <c r="P105" i="21"/>
  <c r="P104" i="21"/>
  <c r="P103" i="21"/>
  <c r="P102" i="21"/>
  <c r="P100" i="21"/>
  <c r="P99" i="21"/>
  <c r="P98" i="21"/>
  <c r="P97" i="21"/>
  <c r="P96" i="21"/>
  <c r="P95" i="21"/>
  <c r="P94" i="21"/>
  <c r="P101" i="21" s="1"/>
  <c r="P93" i="21"/>
  <c r="P92" i="21"/>
  <c r="P91" i="21"/>
  <c r="P90" i="21"/>
  <c r="P89" i="21"/>
  <c r="P87" i="21"/>
  <c r="P86" i="21"/>
  <c r="P85" i="21"/>
  <c r="P84" i="21"/>
  <c r="P83" i="21"/>
  <c r="P82" i="21"/>
  <c r="P81" i="21"/>
  <c r="P88" i="21" s="1"/>
  <c r="D12" i="21" s="1"/>
  <c r="E29" i="11" s="1"/>
  <c r="P80" i="21"/>
  <c r="P79" i="21"/>
  <c r="P78" i="21"/>
  <c r="P77" i="21"/>
  <c r="P76" i="21"/>
  <c r="P74" i="21"/>
  <c r="P73" i="21"/>
  <c r="P72" i="21"/>
  <c r="P71" i="21"/>
  <c r="E13" i="24"/>
  <c r="K13" i="24" s="1"/>
  <c r="G30" i="24"/>
  <c r="K30" i="24" s="1"/>
  <c r="G41" i="24"/>
  <c r="K41" i="24"/>
  <c r="M134" i="21" s="1"/>
  <c r="P69" i="21"/>
  <c r="E14" i="24"/>
  <c r="K14" i="24" s="1"/>
  <c r="H107" i="21" s="1"/>
  <c r="K68" i="21"/>
  <c r="L68" i="21"/>
  <c r="P67" i="21"/>
  <c r="E17" i="24"/>
  <c r="K17" i="24" s="1"/>
  <c r="G32" i="24"/>
  <c r="K32" i="24"/>
  <c r="J64" i="21" s="1"/>
  <c r="K64" i="21"/>
  <c r="L64" i="21"/>
  <c r="G43" i="24"/>
  <c r="K43" i="24" s="1"/>
  <c r="P65" i="21"/>
  <c r="E22" i="24"/>
  <c r="K22" i="24" s="1"/>
  <c r="H143" i="21"/>
  <c r="N63" i="21"/>
  <c r="O63" i="21"/>
  <c r="P61" i="21"/>
  <c r="P60" i="21"/>
  <c r="P59" i="21"/>
  <c r="H58" i="21"/>
  <c r="I58" i="21"/>
  <c r="N58" i="21"/>
  <c r="O58" i="21"/>
  <c r="P56" i="21"/>
  <c r="P55" i="21"/>
  <c r="N54" i="21"/>
  <c r="O54" i="21"/>
  <c r="N50" i="21"/>
  <c r="O50" i="21"/>
  <c r="P48" i="21"/>
  <c r="P47" i="21"/>
  <c r="P46" i="21"/>
  <c r="P45" i="21"/>
  <c r="P43" i="21"/>
  <c r="K42" i="21"/>
  <c r="L42" i="21"/>
  <c r="P41" i="21"/>
  <c r="P39" i="21"/>
  <c r="J38" i="21"/>
  <c r="K38" i="21"/>
  <c r="L38" i="21"/>
  <c r="J27" i="21"/>
  <c r="P28" i="21"/>
  <c r="P30" i="21"/>
  <c r="P31" i="21"/>
  <c r="P32" i="21"/>
  <c r="P33" i="21"/>
  <c r="P34" i="21"/>
  <c r="P35" i="21"/>
  <c r="H90" i="21"/>
  <c r="F12" i="23"/>
  <c r="K12" i="23" s="1"/>
  <c r="F8" i="23"/>
  <c r="K8" i="23" s="1"/>
  <c r="B24" i="17"/>
  <c r="L88" i="22"/>
  <c r="N88" i="22" s="1"/>
  <c r="C8" i="22" s="1"/>
  <c r="L89" i="22"/>
  <c r="G26" i="22"/>
  <c r="M26" i="22"/>
  <c r="I26" i="22"/>
  <c r="K26" i="22"/>
  <c r="F7" i="23"/>
  <c r="K7" i="23"/>
  <c r="G30" i="23"/>
  <c r="K30" i="23"/>
  <c r="G43" i="23"/>
  <c r="K43" i="23" s="1"/>
  <c r="G28" i="22"/>
  <c r="I28" i="22"/>
  <c r="K28" i="22"/>
  <c r="F18" i="23"/>
  <c r="K18" i="23"/>
  <c r="F41" i="22" s="1"/>
  <c r="G33" i="23"/>
  <c r="K33" i="23" s="1"/>
  <c r="G46" i="23"/>
  <c r="K46" i="23"/>
  <c r="G32" i="23"/>
  <c r="K32" i="23" s="1"/>
  <c r="G45" i="23"/>
  <c r="K45" i="23" s="1"/>
  <c r="L30" i="22"/>
  <c r="L86" i="22"/>
  <c r="L87" i="22"/>
  <c r="N86" i="22" s="1"/>
  <c r="C7" i="22" s="1"/>
  <c r="L107" i="22"/>
  <c r="L108" i="22"/>
  <c r="L129" i="22"/>
  <c r="L128" i="22"/>
  <c r="M147" i="21"/>
  <c r="M146" i="21"/>
  <c r="M142" i="21"/>
  <c r="M136" i="21"/>
  <c r="M135" i="21"/>
  <c r="M122" i="21"/>
  <c r="M121" i="21"/>
  <c r="M120" i="21"/>
  <c r="M110" i="21"/>
  <c r="M109" i="21"/>
  <c r="M108" i="21"/>
  <c r="M106" i="21"/>
  <c r="M95" i="21"/>
  <c r="M94" i="21"/>
  <c r="M90" i="21"/>
  <c r="M84" i="21"/>
  <c r="M83" i="21"/>
  <c r="M71" i="21"/>
  <c r="M69" i="21"/>
  <c r="M56" i="21"/>
  <c r="M30" i="21"/>
  <c r="M31" i="21"/>
  <c r="M32" i="21"/>
  <c r="M28" i="21"/>
  <c r="J143" i="21"/>
  <c r="J142" i="21"/>
  <c r="J141" i="21"/>
  <c r="J134" i="21"/>
  <c r="J132" i="21"/>
  <c r="J131" i="21"/>
  <c r="J119" i="21"/>
  <c r="J118" i="21"/>
  <c r="J117" i="21"/>
  <c r="J116" i="21"/>
  <c r="J115" i="21"/>
  <c r="J106" i="21"/>
  <c r="J105" i="21"/>
  <c r="J104" i="21"/>
  <c r="J103" i="21"/>
  <c r="J102" i="21"/>
  <c r="J91" i="21"/>
  <c r="J90" i="21"/>
  <c r="J89" i="21"/>
  <c r="J82" i="21"/>
  <c r="J80" i="21"/>
  <c r="J79" i="21"/>
  <c r="J67" i="21"/>
  <c r="J65" i="21"/>
  <c r="J55" i="21"/>
  <c r="J41" i="21"/>
  <c r="J28" i="21"/>
  <c r="H149" i="21"/>
  <c r="H136" i="21"/>
  <c r="H123" i="21"/>
  <c r="H110" i="21"/>
  <c r="H97" i="21"/>
  <c r="H84" i="21"/>
  <c r="H71" i="21"/>
  <c r="H45" i="21"/>
  <c r="E10" i="24"/>
  <c r="K10" i="24"/>
  <c r="E11" i="24"/>
  <c r="K11" i="24"/>
  <c r="E15" i="24"/>
  <c r="K15" i="24" s="1"/>
  <c r="E16" i="24"/>
  <c r="K16" i="24" s="1"/>
  <c r="E18" i="24"/>
  <c r="K18" i="24"/>
  <c r="E19" i="24"/>
  <c r="K19" i="24"/>
  <c r="E20" i="24"/>
  <c r="K20" i="24"/>
  <c r="E9" i="24"/>
  <c r="K9" i="24"/>
  <c r="G42" i="24"/>
  <c r="K42" i="24" s="1"/>
  <c r="G40" i="24"/>
  <c r="K40" i="24" s="1"/>
  <c r="G39" i="24"/>
  <c r="K39" i="24"/>
  <c r="G38" i="24"/>
  <c r="K38" i="24"/>
  <c r="G28" i="24"/>
  <c r="K28" i="24"/>
  <c r="G29" i="24"/>
  <c r="G31" i="24"/>
  <c r="K31" i="24" s="1"/>
  <c r="G27" i="24"/>
  <c r="K27" i="24" s="1"/>
  <c r="K29" i="24"/>
  <c r="G10" i="24"/>
  <c r="G11" i="24"/>
  <c r="G13" i="24"/>
  <c r="G14" i="24"/>
  <c r="G15" i="24"/>
  <c r="G16" i="24"/>
  <c r="G18" i="24"/>
  <c r="G19" i="24"/>
  <c r="G20" i="24"/>
  <c r="G22" i="24"/>
  <c r="G9" i="24"/>
  <c r="L79" i="22"/>
  <c r="L80" i="22"/>
  <c r="L81" i="22"/>
  <c r="L82" i="22"/>
  <c r="L83" i="22"/>
  <c r="L84" i="22"/>
  <c r="L104" i="22"/>
  <c r="N104" i="22" s="1"/>
  <c r="C16" i="22" s="1"/>
  <c r="L105" i="22"/>
  <c r="L125" i="22"/>
  <c r="L126" i="22"/>
  <c r="L146" i="22"/>
  <c r="L147" i="22"/>
  <c r="L73" i="22"/>
  <c r="L74" i="22"/>
  <c r="L75" i="22"/>
  <c r="L76" i="22"/>
  <c r="L77" i="22"/>
  <c r="L78" i="22"/>
  <c r="L102" i="22"/>
  <c r="L103" i="22"/>
  <c r="N102" i="22" s="1"/>
  <c r="C15" i="22" s="1"/>
  <c r="L123" i="22"/>
  <c r="L124" i="22"/>
  <c r="L144" i="22"/>
  <c r="N144" i="22" s="1"/>
  <c r="E15" i="22" s="1"/>
  <c r="L145" i="22"/>
  <c r="L67" i="22"/>
  <c r="L68" i="22"/>
  <c r="L69" i="22"/>
  <c r="L70" i="22"/>
  <c r="L71" i="22"/>
  <c r="L72" i="22"/>
  <c r="N67" i="22" s="1"/>
  <c r="B14" i="22" s="1"/>
  <c r="L100" i="22"/>
  <c r="N100" i="22" s="1"/>
  <c r="C14" i="22" s="1"/>
  <c r="L101" i="22"/>
  <c r="L121" i="22"/>
  <c r="L122" i="22"/>
  <c r="L142" i="22"/>
  <c r="N142" i="22" s="1"/>
  <c r="E14" i="22" s="1"/>
  <c r="L143" i="22"/>
  <c r="L61" i="22"/>
  <c r="L62" i="22"/>
  <c r="N61" i="22" s="1"/>
  <c r="L63" i="22"/>
  <c r="L64" i="22"/>
  <c r="L65" i="22"/>
  <c r="L66" i="22"/>
  <c r="L98" i="22"/>
  <c r="N98" i="22" s="1"/>
  <c r="C13" i="22" s="1"/>
  <c r="L99" i="22"/>
  <c r="L119" i="22"/>
  <c r="L120" i="22"/>
  <c r="L140" i="22"/>
  <c r="L141" i="22"/>
  <c r="N140" i="22" s="1"/>
  <c r="E13" i="22" s="1"/>
  <c r="L55" i="22"/>
  <c r="L56" i="22"/>
  <c r="L57" i="22"/>
  <c r="L58" i="22"/>
  <c r="L59" i="22"/>
  <c r="L60" i="22"/>
  <c r="L96" i="22"/>
  <c r="L97" i="22"/>
  <c r="L117" i="22"/>
  <c r="L118" i="22"/>
  <c r="N117" i="22" s="1"/>
  <c r="L138" i="22"/>
  <c r="L139" i="22"/>
  <c r="L49" i="22"/>
  <c r="L50" i="22"/>
  <c r="L51" i="22"/>
  <c r="L52" i="22"/>
  <c r="L53" i="22"/>
  <c r="L54" i="22"/>
  <c r="L94" i="22"/>
  <c r="L95" i="22"/>
  <c r="N94" i="22" s="1"/>
  <c r="C11" i="22" s="1"/>
  <c r="L115" i="22"/>
  <c r="L116" i="22"/>
  <c r="L136" i="22"/>
  <c r="N136" i="22" s="1"/>
  <c r="E11" i="22" s="1"/>
  <c r="L137" i="22"/>
  <c r="K43" i="22"/>
  <c r="L44" i="22"/>
  <c r="G45" i="22"/>
  <c r="L46" i="22"/>
  <c r="L47" i="22"/>
  <c r="L48" i="22"/>
  <c r="L92" i="22"/>
  <c r="L93" i="22"/>
  <c r="L113" i="22"/>
  <c r="L114" i="22"/>
  <c r="L134" i="22"/>
  <c r="L135" i="22"/>
  <c r="L38" i="22"/>
  <c r="L40" i="22"/>
  <c r="L41" i="22"/>
  <c r="L42" i="22"/>
  <c r="L90" i="22"/>
  <c r="N90" i="22" s="1"/>
  <c r="C9" i="22" s="1"/>
  <c r="L91" i="22"/>
  <c r="L111" i="22"/>
  <c r="L112" i="22"/>
  <c r="L132" i="22"/>
  <c r="N132" i="22" s="1"/>
  <c r="E9" i="22" s="1"/>
  <c r="L133" i="22"/>
  <c r="L32" i="22"/>
  <c r="L34" i="22"/>
  <c r="L35" i="22"/>
  <c r="L36" i="22"/>
  <c r="L109" i="22"/>
  <c r="L110" i="22"/>
  <c r="L130" i="22"/>
  <c r="L131" i="22"/>
  <c r="N130" i="22"/>
  <c r="E8" i="22" s="1"/>
  <c r="G51" i="22"/>
  <c r="I51" i="22"/>
  <c r="K51" i="22"/>
  <c r="G86" i="22"/>
  <c r="I86" i="22"/>
  <c r="K86" i="22"/>
  <c r="G87" i="22"/>
  <c r="I87" i="22"/>
  <c r="K87" i="22"/>
  <c r="M147" i="22"/>
  <c r="K147" i="22"/>
  <c r="G51" i="23"/>
  <c r="K51" i="23"/>
  <c r="J143" i="22" s="1"/>
  <c r="J147" i="22"/>
  <c r="I147" i="22"/>
  <c r="G38" i="23"/>
  <c r="K38" i="23" s="1"/>
  <c r="G147" i="22"/>
  <c r="F9" i="23"/>
  <c r="K9" i="23" s="1"/>
  <c r="M146" i="22"/>
  <c r="K146" i="22"/>
  <c r="G50" i="23"/>
  <c r="K50" i="23"/>
  <c r="I146" i="22"/>
  <c r="G37" i="23"/>
  <c r="K37" i="23" s="1"/>
  <c r="G146" i="22"/>
  <c r="F10" i="23"/>
  <c r="K10" i="23"/>
  <c r="M145" i="22"/>
  <c r="K145" i="22"/>
  <c r="I145" i="22"/>
  <c r="G145" i="22"/>
  <c r="M144" i="22"/>
  <c r="K144" i="22"/>
  <c r="I144" i="22"/>
  <c r="G144" i="22"/>
  <c r="M143" i="22"/>
  <c r="K143" i="22"/>
  <c r="I143" i="22"/>
  <c r="G143" i="22"/>
  <c r="M142" i="22"/>
  <c r="K142" i="22"/>
  <c r="I142" i="22"/>
  <c r="G142" i="22"/>
  <c r="M141" i="22"/>
  <c r="K141" i="22"/>
  <c r="I141" i="22"/>
  <c r="G141" i="22"/>
  <c r="M140" i="22"/>
  <c r="K140" i="22"/>
  <c r="I140" i="22"/>
  <c r="G140" i="22"/>
  <c r="M139" i="22"/>
  <c r="K139" i="22"/>
  <c r="J139" i="22"/>
  <c r="I139" i="22"/>
  <c r="G139" i="22"/>
  <c r="M138" i="22"/>
  <c r="K138" i="22"/>
  <c r="I138" i="22"/>
  <c r="G138" i="22"/>
  <c r="M137" i="22"/>
  <c r="K137" i="22"/>
  <c r="J137" i="22"/>
  <c r="I137" i="22"/>
  <c r="H137" i="22"/>
  <c r="G137" i="22"/>
  <c r="M136" i="22"/>
  <c r="K136" i="22"/>
  <c r="I136" i="22"/>
  <c r="G136" i="22"/>
  <c r="M135" i="22"/>
  <c r="K135" i="22"/>
  <c r="J135" i="22"/>
  <c r="I135" i="22"/>
  <c r="G135" i="22"/>
  <c r="M134" i="22"/>
  <c r="K134" i="22"/>
  <c r="I134" i="22"/>
  <c r="G134" i="22"/>
  <c r="M133" i="22"/>
  <c r="K133" i="22"/>
  <c r="J133" i="22"/>
  <c r="I133" i="22"/>
  <c r="G133" i="22"/>
  <c r="M132" i="22"/>
  <c r="K132" i="22"/>
  <c r="I132" i="22"/>
  <c r="G132" i="22"/>
  <c r="M126" i="22"/>
  <c r="K126" i="22"/>
  <c r="G49" i="23"/>
  <c r="K49" i="23"/>
  <c r="I126" i="22"/>
  <c r="G36" i="23"/>
  <c r="K36" i="23"/>
  <c r="G126" i="22"/>
  <c r="M125" i="22"/>
  <c r="K125" i="22"/>
  <c r="G48" i="23"/>
  <c r="K48" i="23"/>
  <c r="I125" i="22"/>
  <c r="G35" i="23"/>
  <c r="K35" i="23" s="1"/>
  <c r="G125" i="22"/>
  <c r="M124" i="22"/>
  <c r="K124" i="22"/>
  <c r="I124" i="22"/>
  <c r="G124" i="22"/>
  <c r="M123" i="22"/>
  <c r="K123" i="22"/>
  <c r="I123" i="22"/>
  <c r="G123" i="22"/>
  <c r="M122" i="22"/>
  <c r="K122" i="22"/>
  <c r="I122" i="22"/>
  <c r="G122" i="22"/>
  <c r="M121" i="22"/>
  <c r="K121" i="22"/>
  <c r="I121" i="22"/>
  <c r="G121" i="22"/>
  <c r="M120" i="22"/>
  <c r="K120" i="22"/>
  <c r="I120" i="22"/>
  <c r="G120" i="22"/>
  <c r="M119" i="22"/>
  <c r="K119" i="22"/>
  <c r="I119" i="22"/>
  <c r="G119" i="22"/>
  <c r="M118" i="22"/>
  <c r="K118" i="22"/>
  <c r="I118" i="22"/>
  <c r="G118" i="22"/>
  <c r="M117" i="22"/>
  <c r="K117" i="22"/>
  <c r="I117" i="22"/>
  <c r="G117" i="22"/>
  <c r="M116" i="22"/>
  <c r="K116" i="22"/>
  <c r="I116" i="22"/>
  <c r="H116" i="22"/>
  <c r="G116" i="22"/>
  <c r="M115" i="22"/>
  <c r="K115" i="22"/>
  <c r="I115" i="22"/>
  <c r="G115" i="22"/>
  <c r="M114" i="22"/>
  <c r="K114" i="22"/>
  <c r="I114" i="22"/>
  <c r="G114" i="22"/>
  <c r="M113" i="22"/>
  <c r="K113" i="22"/>
  <c r="I113" i="22"/>
  <c r="G113" i="22"/>
  <c r="M112" i="22"/>
  <c r="K112" i="22"/>
  <c r="I112" i="22"/>
  <c r="G112" i="22"/>
  <c r="M111" i="22"/>
  <c r="K111" i="22"/>
  <c r="I111" i="22"/>
  <c r="G111" i="22"/>
  <c r="M103" i="22"/>
  <c r="K103" i="22"/>
  <c r="G47" i="23"/>
  <c r="K47" i="23"/>
  <c r="J99" i="22" s="1"/>
  <c r="I103" i="22"/>
  <c r="G34" i="23"/>
  <c r="K34" i="23" s="1"/>
  <c r="G103" i="22"/>
  <c r="M102" i="22"/>
  <c r="K102" i="22"/>
  <c r="G44" i="23"/>
  <c r="K44" i="23" s="1"/>
  <c r="I102" i="22"/>
  <c r="G31" i="23"/>
  <c r="K31" i="23" s="1"/>
  <c r="G102" i="22"/>
  <c r="M101" i="22"/>
  <c r="K101" i="22"/>
  <c r="J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3" i="22"/>
  <c r="K93" i="22"/>
  <c r="I93" i="22"/>
  <c r="G93" i="22"/>
  <c r="M92" i="22"/>
  <c r="K92" i="22"/>
  <c r="I92" i="22"/>
  <c r="G92" i="22"/>
  <c r="M30" i="22"/>
  <c r="M32" i="22"/>
  <c r="M34" i="22"/>
  <c r="M35" i="22"/>
  <c r="M36" i="22"/>
  <c r="M38" i="22"/>
  <c r="M40" i="22"/>
  <c r="M41" i="22"/>
  <c r="M42" i="22"/>
  <c r="M44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6" i="22"/>
  <c r="M87" i="22"/>
  <c r="M88" i="22"/>
  <c r="M89" i="22"/>
  <c r="M90" i="22"/>
  <c r="M91" i="22"/>
  <c r="M104" i="22"/>
  <c r="M105" i="22"/>
  <c r="M107" i="22"/>
  <c r="M108" i="22"/>
  <c r="M109" i="22"/>
  <c r="M110" i="22"/>
  <c r="M128" i="22"/>
  <c r="M129" i="22"/>
  <c r="M130" i="22"/>
  <c r="M131" i="22"/>
  <c r="K30" i="22"/>
  <c r="K32" i="22"/>
  <c r="K34" i="22"/>
  <c r="K35" i="22"/>
  <c r="K36" i="22"/>
  <c r="K38" i="22"/>
  <c r="K40" i="22"/>
  <c r="K41" i="22"/>
  <c r="K42" i="22"/>
  <c r="K44" i="22"/>
  <c r="K46" i="22"/>
  <c r="K47" i="22"/>
  <c r="K48" i="22"/>
  <c r="K49" i="22"/>
  <c r="K50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8" i="22"/>
  <c r="K89" i="22"/>
  <c r="K90" i="22"/>
  <c r="K91" i="22"/>
  <c r="K104" i="22"/>
  <c r="K105" i="22"/>
  <c r="K107" i="22"/>
  <c r="K108" i="22"/>
  <c r="K109" i="22"/>
  <c r="K110" i="22"/>
  <c r="K128" i="22"/>
  <c r="K129" i="22"/>
  <c r="K130" i="22"/>
  <c r="K131" i="22"/>
  <c r="J131" i="22"/>
  <c r="J129" i="22"/>
  <c r="J105" i="22"/>
  <c r="J89" i="22"/>
  <c r="J87" i="22"/>
  <c r="I30" i="22"/>
  <c r="I32" i="22"/>
  <c r="I34" i="22"/>
  <c r="I35" i="22"/>
  <c r="I36" i="22"/>
  <c r="I38" i="22"/>
  <c r="I40" i="22"/>
  <c r="I41" i="22"/>
  <c r="I42" i="22"/>
  <c r="I44" i="22"/>
  <c r="I46" i="22"/>
  <c r="I47" i="22"/>
  <c r="I48" i="22"/>
  <c r="I49" i="22"/>
  <c r="I50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8" i="22"/>
  <c r="I89" i="22"/>
  <c r="I90" i="22"/>
  <c r="I91" i="22"/>
  <c r="I104" i="22"/>
  <c r="I105" i="22"/>
  <c r="I107" i="22"/>
  <c r="I108" i="22"/>
  <c r="I109" i="22"/>
  <c r="I110" i="22"/>
  <c r="I128" i="22"/>
  <c r="I129" i="22"/>
  <c r="I130" i="22"/>
  <c r="I131" i="22"/>
  <c r="H104" i="22"/>
  <c r="H57" i="22"/>
  <c r="H35" i="22"/>
  <c r="G30" i="22"/>
  <c r="G32" i="22"/>
  <c r="G34" i="22"/>
  <c r="G35" i="22"/>
  <c r="G36" i="22"/>
  <c r="G38" i="22"/>
  <c r="G40" i="22"/>
  <c r="G41" i="22"/>
  <c r="G42" i="22"/>
  <c r="G44" i="22"/>
  <c r="G46" i="22"/>
  <c r="G47" i="22"/>
  <c r="G48" i="22"/>
  <c r="G49" i="22"/>
  <c r="G50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8" i="22"/>
  <c r="G89" i="22"/>
  <c r="G90" i="22"/>
  <c r="G91" i="22"/>
  <c r="G104" i="22"/>
  <c r="G105" i="22"/>
  <c r="G107" i="22"/>
  <c r="G108" i="22"/>
  <c r="G109" i="22"/>
  <c r="G110" i="22"/>
  <c r="G128" i="22"/>
  <c r="G129" i="22"/>
  <c r="G130" i="22"/>
  <c r="G131" i="22"/>
  <c r="F84" i="22"/>
  <c r="F68" i="22"/>
  <c r="F48" i="22"/>
  <c r="F11" i="23"/>
  <c r="K11" i="23" s="1"/>
  <c r="F13" i="23"/>
  <c r="K13" i="23"/>
  <c r="F14" i="23"/>
  <c r="K14" i="23"/>
  <c r="F15" i="23"/>
  <c r="K15" i="23" s="1"/>
  <c r="F16" i="23"/>
  <c r="K16" i="23" s="1"/>
  <c r="F17" i="23"/>
  <c r="K17" i="23"/>
  <c r="F19" i="23"/>
  <c r="K19" i="23" s="1"/>
  <c r="F20" i="23"/>
  <c r="K20" i="23"/>
  <c r="F21" i="23"/>
  <c r="K21" i="23"/>
  <c r="H32" i="21"/>
  <c r="C54" i="17"/>
  <c r="M54" i="17"/>
  <c r="L54" i="17"/>
  <c r="C64" i="17"/>
  <c r="L64" i="17"/>
  <c r="M64" i="17" s="1"/>
  <c r="L55" i="17"/>
  <c r="M55" i="17"/>
  <c r="L56" i="17"/>
  <c r="M56" i="17" s="1"/>
  <c r="L57" i="17"/>
  <c r="M57" i="17" s="1"/>
  <c r="L58" i="17"/>
  <c r="M58" i="17"/>
  <c r="L60" i="17"/>
  <c r="M60" i="17" s="1"/>
  <c r="L61" i="17"/>
  <c r="M61" i="17"/>
  <c r="L62" i="17"/>
  <c r="M62" i="17"/>
  <c r="L65" i="17"/>
  <c r="M65" i="17" s="1"/>
  <c r="L66" i="17"/>
  <c r="M66" i="17" s="1"/>
  <c r="C39" i="17"/>
  <c r="M39" i="17"/>
  <c r="L39" i="17"/>
  <c r="C40" i="17"/>
  <c r="L40" i="17"/>
  <c r="M40" i="17" s="1"/>
  <c r="C45" i="17"/>
  <c r="L45" i="17"/>
  <c r="M45" i="17" s="1"/>
  <c r="C49" i="17"/>
  <c r="M49" i="17"/>
  <c r="L49" i="17"/>
  <c r="L41" i="17"/>
  <c r="M41" i="17"/>
  <c r="L42" i="17"/>
  <c r="M42" i="17" s="1"/>
  <c r="L43" i="17"/>
  <c r="M43" i="17"/>
  <c r="L46" i="17"/>
  <c r="M46" i="17"/>
  <c r="L47" i="17"/>
  <c r="M47" i="17" s="1"/>
  <c r="L50" i="17"/>
  <c r="M50" i="17" s="1"/>
  <c r="L51" i="17"/>
  <c r="M51" i="17"/>
  <c r="C69" i="17"/>
  <c r="M69" i="17" s="1"/>
  <c r="L69" i="17"/>
  <c r="L70" i="17"/>
  <c r="M70" i="17" s="1"/>
  <c r="L71" i="17"/>
  <c r="M71" i="17" s="1"/>
  <c r="L72" i="17"/>
  <c r="M72" i="17"/>
  <c r="L73" i="17"/>
  <c r="M73" i="17" s="1"/>
  <c r="L75" i="17"/>
  <c r="M75" i="17"/>
  <c r="L76" i="17"/>
  <c r="M76" i="17"/>
  <c r="L77" i="17"/>
  <c r="M77" i="17" s="1"/>
  <c r="L79" i="17"/>
  <c r="M79" i="17" s="1"/>
  <c r="L80" i="17"/>
  <c r="M80" i="17"/>
  <c r="L81" i="17"/>
  <c r="M81" i="17" s="1"/>
  <c r="B69" i="17"/>
  <c r="B64" i="17"/>
  <c r="B60" i="17"/>
  <c r="B54" i="17"/>
  <c r="B49" i="17"/>
  <c r="B45" i="17"/>
  <c r="B40" i="17"/>
  <c r="B39" i="17"/>
  <c r="L24" i="17"/>
  <c r="C24" i="17"/>
  <c r="M24" i="17" s="1"/>
  <c r="L30" i="17"/>
  <c r="M30" i="17"/>
  <c r="L34" i="17"/>
  <c r="M34" i="17" s="1"/>
  <c r="L35" i="17"/>
  <c r="M35" i="17"/>
  <c r="L25" i="17"/>
  <c r="M25" i="17"/>
  <c r="L26" i="17"/>
  <c r="M26" i="17" s="1"/>
  <c r="L27" i="17"/>
  <c r="M27" i="17" s="1"/>
  <c r="L28" i="17"/>
  <c r="M28" i="17"/>
  <c r="L31" i="17"/>
  <c r="M31" i="17" s="1"/>
  <c r="L32" i="17"/>
  <c r="M32" i="17"/>
  <c r="L36" i="17"/>
  <c r="M36" i="17"/>
  <c r="B34" i="17"/>
  <c r="B30" i="17"/>
  <c r="C16" i="17"/>
  <c r="E56" i="11" s="1"/>
  <c r="L144" i="17"/>
  <c r="M144" i="17"/>
  <c r="L145" i="17"/>
  <c r="M145" i="17" s="1"/>
  <c r="L146" i="17"/>
  <c r="M146" i="17"/>
  <c r="L147" i="17"/>
  <c r="M147" i="17"/>
  <c r="L148" i="17"/>
  <c r="M148" i="17" s="1"/>
  <c r="L150" i="17"/>
  <c r="M150" i="17" s="1"/>
  <c r="L151" i="17"/>
  <c r="M151" i="17"/>
  <c r="L152" i="17"/>
  <c r="M152" i="17" s="1"/>
  <c r="L154" i="17"/>
  <c r="M154" i="17"/>
  <c r="L155" i="17"/>
  <c r="M155" i="17"/>
  <c r="L156" i="17"/>
  <c r="M156" i="17" s="1"/>
  <c r="L129" i="17"/>
  <c r="M129" i="17" s="1"/>
  <c r="L130" i="17"/>
  <c r="M130" i="17"/>
  <c r="L131" i="17"/>
  <c r="M131" i="17" s="1"/>
  <c r="L132" i="17"/>
  <c r="M132" i="17"/>
  <c r="L133" i="17"/>
  <c r="M133" i="17"/>
  <c r="L135" i="17"/>
  <c r="M135" i="17" s="1"/>
  <c r="L136" i="17"/>
  <c r="M136" i="17" s="1"/>
  <c r="L137" i="17"/>
  <c r="M137" i="17"/>
  <c r="L139" i="17"/>
  <c r="M139" i="17" s="1"/>
  <c r="L140" i="17"/>
  <c r="M140" i="17"/>
  <c r="L141" i="17"/>
  <c r="M141" i="17"/>
  <c r="L114" i="17"/>
  <c r="M114" i="17" s="1"/>
  <c r="L115" i="17"/>
  <c r="M115" i="17" s="1"/>
  <c r="L116" i="17"/>
  <c r="M116" i="17"/>
  <c r="L117" i="17"/>
  <c r="M117" i="17" s="1"/>
  <c r="L118" i="17"/>
  <c r="M118" i="17"/>
  <c r="L120" i="17"/>
  <c r="M120" i="17"/>
  <c r="L121" i="17"/>
  <c r="M121" i="17" s="1"/>
  <c r="L122" i="17"/>
  <c r="M122" i="17"/>
  <c r="L124" i="17"/>
  <c r="M124" i="17"/>
  <c r="L125" i="17"/>
  <c r="M125" i="17" s="1"/>
  <c r="L126" i="17"/>
  <c r="M126" i="17" s="1"/>
  <c r="L99" i="17"/>
  <c r="M99" i="17"/>
  <c r="L100" i="17"/>
  <c r="M100" i="17" s="1"/>
  <c r="M112" i="17" s="1"/>
  <c r="C12" i="17" s="1"/>
  <c r="E36" i="11" s="1"/>
  <c r="L101" i="17"/>
  <c r="M101" i="17"/>
  <c r="L102" i="17"/>
  <c r="M102" i="17"/>
  <c r="L103" i="17"/>
  <c r="M103" i="17" s="1"/>
  <c r="L105" i="17"/>
  <c r="M105" i="17" s="1"/>
  <c r="L106" i="17"/>
  <c r="M106" i="17"/>
  <c r="L107" i="17"/>
  <c r="M107" i="17" s="1"/>
  <c r="L109" i="17"/>
  <c r="M109" i="17"/>
  <c r="L110" i="17"/>
  <c r="M110" i="17"/>
  <c r="L111" i="17"/>
  <c r="M111" i="17" s="1"/>
  <c r="L84" i="17"/>
  <c r="M84" i="17" s="1"/>
  <c r="L85" i="17"/>
  <c r="M85" i="17"/>
  <c r="L86" i="17"/>
  <c r="M86" i="17" s="1"/>
  <c r="L87" i="17"/>
  <c r="M87" i="17"/>
  <c r="L88" i="17"/>
  <c r="M88" i="17"/>
  <c r="L90" i="17"/>
  <c r="M90" i="17" s="1"/>
  <c r="L91" i="17"/>
  <c r="M91" i="17" s="1"/>
  <c r="L92" i="17"/>
  <c r="M92" i="17"/>
  <c r="L94" i="17"/>
  <c r="M94" i="17" s="1"/>
  <c r="L95" i="17"/>
  <c r="M95" i="17"/>
  <c r="L96" i="17"/>
  <c r="M96" i="17"/>
  <c r="G53" i="11"/>
  <c r="H53" i="11" s="1"/>
  <c r="G48" i="11"/>
  <c r="H48" i="11" s="1"/>
  <c r="G43" i="11"/>
  <c r="G38" i="11"/>
  <c r="G33" i="11"/>
  <c r="H33" i="11" s="1"/>
  <c r="G28" i="11"/>
  <c r="O26" i="12"/>
  <c r="P26" i="12" s="1"/>
  <c r="O25" i="12"/>
  <c r="P25" i="12" s="1"/>
  <c r="O24" i="12"/>
  <c r="O23" i="12"/>
  <c r="L159" i="17"/>
  <c r="M159" i="17" s="1"/>
  <c r="L160" i="17"/>
  <c r="M160" i="17"/>
  <c r="L161" i="17"/>
  <c r="M161" i="17" s="1"/>
  <c r="M172" i="17" s="1"/>
  <c r="L162" i="17"/>
  <c r="M162" i="17"/>
  <c r="L163" i="17"/>
  <c r="M163" i="17"/>
  <c r="L165" i="17"/>
  <c r="M165" i="17" s="1"/>
  <c r="L166" i="17"/>
  <c r="M166" i="17" s="1"/>
  <c r="L167" i="17"/>
  <c r="M167" i="17"/>
  <c r="L169" i="17"/>
  <c r="M169" i="17" s="1"/>
  <c r="L170" i="17"/>
  <c r="M170" i="17"/>
  <c r="L171" i="17"/>
  <c r="M171" i="17"/>
  <c r="G32" i="11"/>
  <c r="H28" i="11" s="1"/>
  <c r="G37" i="11"/>
  <c r="G42" i="11"/>
  <c r="H38" i="11" s="1"/>
  <c r="G47" i="11"/>
  <c r="G52" i="11"/>
  <c r="G57" i="11"/>
  <c r="H43" i="11"/>
  <c r="O27" i="12"/>
  <c r="P27" i="12" s="1"/>
  <c r="O28" i="12"/>
  <c r="O29" i="12"/>
  <c r="P29" i="12" s="1"/>
  <c r="Q29" i="12" s="1"/>
  <c r="C13" i="12" s="1"/>
  <c r="E40" i="11" s="1"/>
  <c r="O30" i="12"/>
  <c r="P30" i="12" s="1"/>
  <c r="Q30" i="12" s="1"/>
  <c r="C14" i="12" s="1"/>
  <c r="E45" i="11" s="1"/>
  <c r="O31" i="12"/>
  <c r="M33" i="3"/>
  <c r="D16" i="3"/>
  <c r="E57" i="11"/>
  <c r="P153" i="21"/>
  <c r="D17" i="21" s="1"/>
  <c r="E54" i="11" s="1"/>
  <c r="M32" i="3"/>
  <c r="D15" i="3" s="1"/>
  <c r="E52" i="11" s="1"/>
  <c r="H31" i="3"/>
  <c r="J31" i="3"/>
  <c r="L31" i="3"/>
  <c r="M31" i="3"/>
  <c r="D14" i="3"/>
  <c r="E47" i="11" s="1"/>
  <c r="H30" i="3"/>
  <c r="J30" i="3"/>
  <c r="L30" i="3"/>
  <c r="H29" i="3"/>
  <c r="J29" i="3"/>
  <c r="L29" i="3"/>
  <c r="M29" i="3"/>
  <c r="D12" i="3" s="1"/>
  <c r="E37" i="11" s="1"/>
  <c r="H28" i="3"/>
  <c r="J28" i="3"/>
  <c r="L28" i="3"/>
  <c r="M28" i="3"/>
  <c r="D11" i="3" s="1"/>
  <c r="E32" i="11" s="1"/>
  <c r="K141" i="21"/>
  <c r="L141" i="21"/>
  <c r="N141" i="21"/>
  <c r="O141" i="21"/>
  <c r="K142" i="21"/>
  <c r="L142" i="21"/>
  <c r="N142" i="21"/>
  <c r="O142" i="21"/>
  <c r="K143" i="21"/>
  <c r="L143" i="21"/>
  <c r="N143" i="21"/>
  <c r="O143" i="21"/>
  <c r="K144" i="21"/>
  <c r="L144" i="21"/>
  <c r="N144" i="21"/>
  <c r="O144" i="21"/>
  <c r="K145" i="21"/>
  <c r="L145" i="21"/>
  <c r="N145" i="21"/>
  <c r="O145" i="21"/>
  <c r="K146" i="21"/>
  <c r="L146" i="21"/>
  <c r="N146" i="21"/>
  <c r="O146" i="21"/>
  <c r="K128" i="21"/>
  <c r="L128" i="21"/>
  <c r="N128" i="21"/>
  <c r="O128" i="21"/>
  <c r="K129" i="21"/>
  <c r="L129" i="21"/>
  <c r="N129" i="21"/>
  <c r="O129" i="21"/>
  <c r="K130" i="21"/>
  <c r="L130" i="21"/>
  <c r="N130" i="21"/>
  <c r="O130" i="21"/>
  <c r="K131" i="21"/>
  <c r="L131" i="21"/>
  <c r="N131" i="21"/>
  <c r="O131" i="21"/>
  <c r="K132" i="21"/>
  <c r="L132" i="21"/>
  <c r="N132" i="21"/>
  <c r="O132" i="21"/>
  <c r="K133" i="21"/>
  <c r="L133" i="21"/>
  <c r="N133" i="21"/>
  <c r="O133" i="21"/>
  <c r="K115" i="21"/>
  <c r="L115" i="21"/>
  <c r="N115" i="21"/>
  <c r="O115" i="21"/>
  <c r="K116" i="21"/>
  <c r="L116" i="21"/>
  <c r="N116" i="21"/>
  <c r="O116" i="21"/>
  <c r="K117" i="21"/>
  <c r="L117" i="21"/>
  <c r="N117" i="21"/>
  <c r="O117" i="21"/>
  <c r="K118" i="21"/>
  <c r="L118" i="21"/>
  <c r="N118" i="21"/>
  <c r="O118" i="21"/>
  <c r="K119" i="21"/>
  <c r="L119" i="21"/>
  <c r="N119" i="21"/>
  <c r="O119" i="21"/>
  <c r="K120" i="21"/>
  <c r="L120" i="21"/>
  <c r="N120" i="21"/>
  <c r="O120" i="21"/>
  <c r="K102" i="21"/>
  <c r="L102" i="21"/>
  <c r="N102" i="21"/>
  <c r="O102" i="21"/>
  <c r="K103" i="21"/>
  <c r="L103" i="21"/>
  <c r="N103" i="21"/>
  <c r="O103" i="21"/>
  <c r="K104" i="21"/>
  <c r="L104" i="21"/>
  <c r="N104" i="21"/>
  <c r="O104" i="21"/>
  <c r="K105" i="21"/>
  <c r="L105" i="21"/>
  <c r="N105" i="21"/>
  <c r="O105" i="21"/>
  <c r="K106" i="21"/>
  <c r="L106" i="21"/>
  <c r="N106" i="21"/>
  <c r="O106" i="21"/>
  <c r="K107" i="21"/>
  <c r="L107" i="21"/>
  <c r="N107" i="21"/>
  <c r="O107" i="21"/>
  <c r="K89" i="21"/>
  <c r="L89" i="21"/>
  <c r="N89" i="21"/>
  <c r="O89" i="21"/>
  <c r="K90" i="21"/>
  <c r="L90" i="21"/>
  <c r="N90" i="21"/>
  <c r="O90" i="21"/>
  <c r="K91" i="21"/>
  <c r="L91" i="21"/>
  <c r="N91" i="21"/>
  <c r="O91" i="21"/>
  <c r="K92" i="21"/>
  <c r="L92" i="21"/>
  <c r="N92" i="21"/>
  <c r="O92" i="21"/>
  <c r="K93" i="21"/>
  <c r="L93" i="21"/>
  <c r="N93" i="21"/>
  <c r="O93" i="21"/>
  <c r="K94" i="21"/>
  <c r="L94" i="21"/>
  <c r="N94" i="21"/>
  <c r="O94" i="21"/>
  <c r="K76" i="21"/>
  <c r="L76" i="21"/>
  <c r="N76" i="21"/>
  <c r="O76" i="21"/>
  <c r="K77" i="21"/>
  <c r="L77" i="21"/>
  <c r="N77" i="21"/>
  <c r="O77" i="21"/>
  <c r="K78" i="21"/>
  <c r="L78" i="21"/>
  <c r="N78" i="21"/>
  <c r="O78" i="21"/>
  <c r="K79" i="21"/>
  <c r="L79" i="21"/>
  <c r="N79" i="21"/>
  <c r="O79" i="21"/>
  <c r="K80" i="21"/>
  <c r="L80" i="21"/>
  <c r="N80" i="21"/>
  <c r="O80" i="21"/>
  <c r="K81" i="21"/>
  <c r="L81" i="21"/>
  <c r="N81" i="21"/>
  <c r="O81" i="21"/>
  <c r="K65" i="21"/>
  <c r="L65" i="21"/>
  <c r="N65" i="21"/>
  <c r="O65" i="21"/>
  <c r="K67" i="21"/>
  <c r="L67" i="21"/>
  <c r="N67" i="21"/>
  <c r="O67" i="21"/>
  <c r="K55" i="21"/>
  <c r="L55" i="21"/>
  <c r="N55" i="21"/>
  <c r="O55" i="21"/>
  <c r="K39" i="21"/>
  <c r="L39" i="21"/>
  <c r="N39" i="21"/>
  <c r="O39" i="21"/>
  <c r="K41" i="21"/>
  <c r="L41" i="21"/>
  <c r="N41" i="21"/>
  <c r="O41" i="21"/>
  <c r="K28" i="21"/>
  <c r="L28" i="21"/>
  <c r="N28" i="21"/>
  <c r="O28" i="21"/>
  <c r="N152" i="21"/>
  <c r="L152" i="21"/>
  <c r="K152" i="21"/>
  <c r="I152" i="21"/>
  <c r="O151" i="21"/>
  <c r="N151" i="21"/>
  <c r="L151" i="21"/>
  <c r="K151" i="21"/>
  <c r="I151" i="21"/>
  <c r="O150" i="21"/>
  <c r="N150" i="21"/>
  <c r="L150" i="21"/>
  <c r="K150" i="21"/>
  <c r="I150" i="21"/>
  <c r="O149" i="21"/>
  <c r="N149" i="21"/>
  <c r="L149" i="21"/>
  <c r="K149" i="21"/>
  <c r="I149" i="21"/>
  <c r="O148" i="21"/>
  <c r="N148" i="21"/>
  <c r="L148" i="21"/>
  <c r="K148" i="21"/>
  <c r="I148" i="21"/>
  <c r="O147" i="21"/>
  <c r="N147" i="21"/>
  <c r="L147" i="21"/>
  <c r="K147" i="21"/>
  <c r="I147" i="21"/>
  <c r="I146" i="21"/>
  <c r="I145" i="21"/>
  <c r="I144" i="21"/>
  <c r="I143" i="21"/>
  <c r="I142" i="21"/>
  <c r="I141" i="21"/>
  <c r="N139" i="21"/>
  <c r="L139" i="21"/>
  <c r="K139" i="21"/>
  <c r="I139" i="21"/>
  <c r="O138" i="21"/>
  <c r="N138" i="21"/>
  <c r="L138" i="21"/>
  <c r="K138" i="21"/>
  <c r="I138" i="21"/>
  <c r="O137" i="21"/>
  <c r="N137" i="21"/>
  <c r="L137" i="21"/>
  <c r="K137" i="21"/>
  <c r="I137" i="21"/>
  <c r="O136" i="21"/>
  <c r="N136" i="21"/>
  <c r="L136" i="21"/>
  <c r="K136" i="21"/>
  <c r="I136" i="21"/>
  <c r="O135" i="21"/>
  <c r="N135" i="21"/>
  <c r="L135" i="21"/>
  <c r="K135" i="21"/>
  <c r="I135" i="21"/>
  <c r="O134" i="21"/>
  <c r="N134" i="21"/>
  <c r="L134" i="21"/>
  <c r="K134" i="21"/>
  <c r="I134" i="21"/>
  <c r="I133" i="21"/>
  <c r="I132" i="21"/>
  <c r="I131" i="21"/>
  <c r="I130" i="21"/>
  <c r="I129" i="21"/>
  <c r="I128" i="21"/>
  <c r="N126" i="21"/>
  <c r="L126" i="21"/>
  <c r="K126" i="21"/>
  <c r="I126" i="21"/>
  <c r="O125" i="21"/>
  <c r="N125" i="21"/>
  <c r="L125" i="21"/>
  <c r="K125" i="21"/>
  <c r="I125" i="21"/>
  <c r="O124" i="21"/>
  <c r="N124" i="21"/>
  <c r="L124" i="21"/>
  <c r="K124" i="21"/>
  <c r="I124" i="21"/>
  <c r="O123" i="21"/>
  <c r="N123" i="21"/>
  <c r="L123" i="21"/>
  <c r="K123" i="21"/>
  <c r="I123" i="21"/>
  <c r="O122" i="21"/>
  <c r="N122" i="21"/>
  <c r="L122" i="21"/>
  <c r="K122" i="21"/>
  <c r="I122" i="21"/>
  <c r="O121" i="21"/>
  <c r="N121" i="21"/>
  <c r="L121" i="21"/>
  <c r="K121" i="21"/>
  <c r="I121" i="21"/>
  <c r="I120" i="21"/>
  <c r="I119" i="21"/>
  <c r="I118" i="21"/>
  <c r="I117" i="21"/>
  <c r="I116" i="21"/>
  <c r="I115" i="21"/>
  <c r="N113" i="21"/>
  <c r="L113" i="21"/>
  <c r="K113" i="21"/>
  <c r="I113" i="21"/>
  <c r="O112" i="21"/>
  <c r="N112" i="21"/>
  <c r="L112" i="21"/>
  <c r="K112" i="21"/>
  <c r="I112" i="21"/>
  <c r="O111" i="21"/>
  <c r="N111" i="21"/>
  <c r="L111" i="21"/>
  <c r="K111" i="21"/>
  <c r="I111" i="21"/>
  <c r="O110" i="21"/>
  <c r="N110" i="21"/>
  <c r="L110" i="21"/>
  <c r="K110" i="21"/>
  <c r="I110" i="21"/>
  <c r="O109" i="21"/>
  <c r="N109" i="21"/>
  <c r="L109" i="21"/>
  <c r="K109" i="21"/>
  <c r="I109" i="21"/>
  <c r="O108" i="21"/>
  <c r="N108" i="21"/>
  <c r="L108" i="21"/>
  <c r="K108" i="21"/>
  <c r="I108" i="21"/>
  <c r="I107" i="21"/>
  <c r="I106" i="21"/>
  <c r="I105" i="21"/>
  <c r="I104" i="21"/>
  <c r="I103" i="21"/>
  <c r="I102" i="21"/>
  <c r="N100" i="21"/>
  <c r="L100" i="21"/>
  <c r="K100" i="21"/>
  <c r="I100" i="21"/>
  <c r="O99" i="21"/>
  <c r="N99" i="21"/>
  <c r="L99" i="21"/>
  <c r="K99" i="21"/>
  <c r="I99" i="21"/>
  <c r="O98" i="21"/>
  <c r="N98" i="21"/>
  <c r="L98" i="21"/>
  <c r="K98" i="21"/>
  <c r="I98" i="21"/>
  <c r="O97" i="21"/>
  <c r="N97" i="21"/>
  <c r="L97" i="21"/>
  <c r="K97" i="21"/>
  <c r="I97" i="21"/>
  <c r="O96" i="21"/>
  <c r="N96" i="21"/>
  <c r="L96" i="21"/>
  <c r="K96" i="21"/>
  <c r="I96" i="21"/>
  <c r="O95" i="21"/>
  <c r="N95" i="21"/>
  <c r="L95" i="21"/>
  <c r="K95" i="21"/>
  <c r="I95" i="21"/>
  <c r="I94" i="21"/>
  <c r="I93" i="21"/>
  <c r="I92" i="21"/>
  <c r="I91" i="21"/>
  <c r="I90" i="21"/>
  <c r="I89" i="21"/>
  <c r="N87" i="21"/>
  <c r="L87" i="21"/>
  <c r="K87" i="21"/>
  <c r="I87" i="21"/>
  <c r="O86" i="21"/>
  <c r="N86" i="21"/>
  <c r="L86" i="21"/>
  <c r="K86" i="21"/>
  <c r="I86" i="21"/>
  <c r="O85" i="21"/>
  <c r="N85" i="21"/>
  <c r="L85" i="21"/>
  <c r="K85" i="21"/>
  <c r="I85" i="21"/>
  <c r="O84" i="21"/>
  <c r="N84" i="21"/>
  <c r="L84" i="21"/>
  <c r="K84" i="21"/>
  <c r="I84" i="21"/>
  <c r="O83" i="21"/>
  <c r="N83" i="21"/>
  <c r="L83" i="21"/>
  <c r="K83" i="21"/>
  <c r="I83" i="21"/>
  <c r="O82" i="21"/>
  <c r="N82" i="21"/>
  <c r="L82" i="21"/>
  <c r="K82" i="21"/>
  <c r="I82" i="21"/>
  <c r="I81" i="21"/>
  <c r="I80" i="21"/>
  <c r="I79" i="21"/>
  <c r="I78" i="21"/>
  <c r="I77" i="21"/>
  <c r="I76" i="21"/>
  <c r="N74" i="21"/>
  <c r="L74" i="21"/>
  <c r="K74" i="21"/>
  <c r="I74" i="21"/>
  <c r="O73" i="21"/>
  <c r="N73" i="21"/>
  <c r="L73" i="21"/>
  <c r="K73" i="21"/>
  <c r="I73" i="21"/>
  <c r="O72" i="21"/>
  <c r="N72" i="21"/>
  <c r="L72" i="21"/>
  <c r="K72" i="21"/>
  <c r="I72" i="21"/>
  <c r="O71" i="21"/>
  <c r="N71" i="21"/>
  <c r="L71" i="21"/>
  <c r="K71" i="21"/>
  <c r="I71" i="21"/>
  <c r="O69" i="21"/>
  <c r="N69" i="21"/>
  <c r="L69" i="21"/>
  <c r="K69" i="21"/>
  <c r="I69" i="21"/>
  <c r="I67" i="21"/>
  <c r="I65" i="21"/>
  <c r="N61" i="21"/>
  <c r="L61" i="21"/>
  <c r="K61" i="21"/>
  <c r="I61" i="21"/>
  <c r="O60" i="21"/>
  <c r="N60" i="21"/>
  <c r="L60" i="21"/>
  <c r="K60" i="21"/>
  <c r="I60" i="21"/>
  <c r="O59" i="21"/>
  <c r="N59" i="21"/>
  <c r="L59" i="21"/>
  <c r="K59" i="21"/>
  <c r="I59" i="21"/>
  <c r="O56" i="21"/>
  <c r="N56" i="21"/>
  <c r="L56" i="21"/>
  <c r="K56" i="21"/>
  <c r="I56" i="21"/>
  <c r="I55" i="21"/>
  <c r="N48" i="21"/>
  <c r="L48" i="21"/>
  <c r="K48" i="21"/>
  <c r="I48" i="21"/>
  <c r="O47" i="21"/>
  <c r="N47" i="21"/>
  <c r="L47" i="21"/>
  <c r="K47" i="21"/>
  <c r="I47" i="21"/>
  <c r="O46" i="21"/>
  <c r="N46" i="21"/>
  <c r="L46" i="21"/>
  <c r="K46" i="21"/>
  <c r="I46" i="21"/>
  <c r="O45" i="21"/>
  <c r="N45" i="21"/>
  <c r="L45" i="21"/>
  <c r="K45" i="21"/>
  <c r="I45" i="21"/>
  <c r="O43" i="21"/>
  <c r="N43" i="21"/>
  <c r="L43" i="21"/>
  <c r="K43" i="21"/>
  <c r="I43" i="21"/>
  <c r="I41" i="21"/>
  <c r="I39" i="21"/>
  <c r="O30" i="21"/>
  <c r="O31" i="21"/>
  <c r="O32" i="21"/>
  <c r="O33" i="21"/>
  <c r="O34" i="21"/>
  <c r="N35" i="21"/>
  <c r="N30" i="21"/>
  <c r="N31" i="21"/>
  <c r="N32" i="21"/>
  <c r="N33" i="21"/>
  <c r="N34" i="21"/>
  <c r="L30" i="21"/>
  <c r="L31" i="21"/>
  <c r="L32" i="21"/>
  <c r="L33" i="21"/>
  <c r="L34" i="21"/>
  <c r="L35" i="21"/>
  <c r="K30" i="21"/>
  <c r="K31" i="21"/>
  <c r="K32" i="21"/>
  <c r="K33" i="21"/>
  <c r="K34" i="21"/>
  <c r="K35" i="21"/>
  <c r="I28" i="21"/>
  <c r="I30" i="21"/>
  <c r="I31" i="21"/>
  <c r="I32" i="21"/>
  <c r="I33" i="21"/>
  <c r="I34" i="21"/>
  <c r="I35" i="21"/>
  <c r="L33" i="3"/>
  <c r="J33" i="3"/>
  <c r="H33" i="3"/>
  <c r="V53" i="11"/>
  <c r="U53" i="11"/>
  <c r="T53" i="11"/>
  <c r="S53" i="11"/>
  <c r="R53" i="11"/>
  <c r="Q53" i="11"/>
  <c r="P53" i="11"/>
  <c r="O53" i="11"/>
  <c r="N53" i="11"/>
  <c r="M53" i="11"/>
  <c r="L53" i="11"/>
  <c r="K53" i="11"/>
  <c r="V48" i="11"/>
  <c r="U48" i="11"/>
  <c r="T48" i="11"/>
  <c r="S48" i="11"/>
  <c r="R48" i="11"/>
  <c r="Q48" i="11"/>
  <c r="P48" i="11"/>
  <c r="O48" i="11"/>
  <c r="N48" i="11"/>
  <c r="M48" i="11"/>
  <c r="V43" i="11"/>
  <c r="U43" i="11"/>
  <c r="T43" i="11"/>
  <c r="S43" i="11"/>
  <c r="R43" i="11"/>
  <c r="Q43" i="11"/>
  <c r="P43" i="11"/>
  <c r="O43" i="11"/>
  <c r="N43" i="11"/>
  <c r="M43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L32" i="3"/>
  <c r="J32" i="3"/>
  <c r="H32" i="3"/>
  <c r="V8" i="11"/>
  <c r="V13" i="11"/>
  <c r="V18" i="11"/>
  <c r="V23" i="11"/>
  <c r="U8" i="11"/>
  <c r="U13" i="11"/>
  <c r="U18" i="11"/>
  <c r="U23" i="11"/>
  <c r="T8" i="11"/>
  <c r="T13" i="11"/>
  <c r="T18" i="11"/>
  <c r="T23" i="11"/>
  <c r="S8" i="11"/>
  <c r="S13" i="11"/>
  <c r="S18" i="11"/>
  <c r="S23" i="11"/>
  <c r="K8" i="11"/>
  <c r="L8" i="11"/>
  <c r="M8" i="11"/>
  <c r="N8" i="11"/>
  <c r="O8" i="11"/>
  <c r="P8" i="11"/>
  <c r="Q8" i="11"/>
  <c r="R8" i="11"/>
  <c r="K13" i="11"/>
  <c r="L13" i="11"/>
  <c r="M13" i="11"/>
  <c r="N13" i="11"/>
  <c r="O13" i="11"/>
  <c r="P13" i="11"/>
  <c r="Q13" i="11"/>
  <c r="R13" i="11"/>
  <c r="K18" i="11"/>
  <c r="L18" i="11"/>
  <c r="M18" i="11"/>
  <c r="N18" i="11"/>
  <c r="O18" i="11"/>
  <c r="P18" i="11"/>
  <c r="Q18" i="11"/>
  <c r="R18" i="11"/>
  <c r="K23" i="11"/>
  <c r="L23" i="11"/>
  <c r="M23" i="11"/>
  <c r="N23" i="11"/>
  <c r="O23" i="11"/>
  <c r="P23" i="11"/>
  <c r="Q23" i="11"/>
  <c r="R23" i="11"/>
  <c r="J23" i="11"/>
  <c r="J18" i="11"/>
  <c r="J13" i="11"/>
  <c r="J8" i="11"/>
  <c r="J144" i="22"/>
  <c r="J140" i="22"/>
  <c r="J136" i="22"/>
  <c r="J132" i="22"/>
  <c r="J146" i="22"/>
  <c r="J134" i="22"/>
  <c r="J128" i="22"/>
  <c r="J142" i="22"/>
  <c r="J130" i="22"/>
  <c r="F37" i="22"/>
  <c r="G37" i="22"/>
  <c r="F31" i="22"/>
  <c r="G31" i="22"/>
  <c r="F102" i="22"/>
  <c r="F98" i="22"/>
  <c r="F94" i="22"/>
  <c r="F104" i="22"/>
  <c r="F88" i="22"/>
  <c r="F79" i="22"/>
  <c r="F67" i="22"/>
  <c r="F55" i="22"/>
  <c r="F74" i="22"/>
  <c r="F62" i="22"/>
  <c r="F50" i="22"/>
  <c r="F26" i="22"/>
  <c r="F25" i="22"/>
  <c r="G25" i="22"/>
  <c r="L25" i="22" s="1"/>
  <c r="F43" i="22"/>
  <c r="G43" i="22"/>
  <c r="F100" i="22"/>
  <c r="F96" i="22"/>
  <c r="F92" i="22"/>
  <c r="F90" i="22"/>
  <c r="F86" i="22"/>
  <c r="F73" i="22"/>
  <c r="F61" i="22"/>
  <c r="F49" i="22"/>
  <c r="F44" i="22"/>
  <c r="F38" i="22"/>
  <c r="F32" i="22"/>
  <c r="J90" i="22"/>
  <c r="J44" i="22"/>
  <c r="J80" i="22"/>
  <c r="J102" i="22"/>
  <c r="J100" i="22"/>
  <c r="F47" i="22"/>
  <c r="F53" i="22"/>
  <c r="F56" i="22"/>
  <c r="F80" i="22"/>
  <c r="H126" i="22"/>
  <c r="H124" i="22"/>
  <c r="H122" i="22"/>
  <c r="H96" i="22"/>
  <c r="H92" i="22"/>
  <c r="H62" i="22"/>
  <c r="H50" i="22"/>
  <c r="H26" i="22"/>
  <c r="H90" i="22"/>
  <c r="H98" i="22"/>
  <c r="H94" i="22"/>
  <c r="H68" i="22"/>
  <c r="H56" i="22"/>
  <c r="J138" i="22"/>
  <c r="I68" i="21"/>
  <c r="P68" i="21"/>
  <c r="I42" i="21"/>
  <c r="P42" i="21"/>
  <c r="H133" i="21"/>
  <c r="H95" i="21"/>
  <c r="H142" i="22"/>
  <c r="H138" i="22"/>
  <c r="I33" i="22"/>
  <c r="H45" i="22"/>
  <c r="I45" i="22"/>
  <c r="I39" i="22"/>
  <c r="H93" i="22"/>
  <c r="J95" i="22"/>
  <c r="H97" i="22"/>
  <c r="H136" i="22"/>
  <c r="H140" i="22"/>
  <c r="K37" i="22"/>
  <c r="J25" i="22"/>
  <c r="K25" i="22"/>
  <c r="M25" i="22" s="1"/>
  <c r="J31" i="22"/>
  <c r="K31" i="22"/>
  <c r="G39" i="22"/>
  <c r="F27" i="22"/>
  <c r="G27" i="22" s="1"/>
  <c r="G33" i="22"/>
  <c r="J141" i="22"/>
  <c r="H143" i="22"/>
  <c r="J145" i="22"/>
  <c r="H65" i="21"/>
  <c r="H91" i="21"/>
  <c r="M53" i="21"/>
  <c r="N53" i="21"/>
  <c r="O53" i="21"/>
  <c r="N40" i="21"/>
  <c r="O40" i="21"/>
  <c r="M25" i="21"/>
  <c r="N25" i="21"/>
  <c r="O25" i="21"/>
  <c r="P25" i="21"/>
  <c r="M52" i="21"/>
  <c r="N52" i="21"/>
  <c r="O52" i="21"/>
  <c r="N66" i="21"/>
  <c r="O66" i="21"/>
  <c r="M64" i="21"/>
  <c r="N64" i="21"/>
  <c r="O64" i="21"/>
  <c r="N51" i="21"/>
  <c r="O51" i="21"/>
  <c r="M38" i="21"/>
  <c r="N38" i="21"/>
  <c r="O38" i="21"/>
  <c r="N27" i="21"/>
  <c r="O27" i="21"/>
  <c r="J58" i="21"/>
  <c r="K58" i="21"/>
  <c r="L58" i="21"/>
  <c r="P58" i="21"/>
  <c r="J70" i="21"/>
  <c r="K70" i="21"/>
  <c r="L70" i="21"/>
  <c r="J57" i="21"/>
  <c r="K57" i="21"/>
  <c r="L57" i="21"/>
  <c r="K44" i="21"/>
  <c r="L44" i="21"/>
  <c r="J29" i="21"/>
  <c r="I26" i="3"/>
  <c r="J26" i="3"/>
  <c r="K51" i="21"/>
  <c r="L51" i="21"/>
  <c r="H52" i="21"/>
  <c r="I52" i="21"/>
  <c r="H26" i="21"/>
  <c r="H142" i="21"/>
  <c r="I64" i="21"/>
  <c r="P64" i="21"/>
  <c r="H51" i="21"/>
  <c r="H38" i="21"/>
  <c r="I38" i="21"/>
  <c r="P38" i="21"/>
  <c r="H141" i="21"/>
  <c r="H117" i="21"/>
  <c r="H103" i="21"/>
  <c r="H89" i="21"/>
  <c r="I63" i="21"/>
  <c r="P63" i="21"/>
  <c r="I50" i="21"/>
  <c r="P50" i="21"/>
  <c r="P62" i="21" s="1"/>
  <c r="D10" i="21" s="1"/>
  <c r="E19" i="11" s="1"/>
  <c r="H37" i="21"/>
  <c r="I37" i="21"/>
  <c r="H24" i="21"/>
  <c r="H130" i="21"/>
  <c r="H116" i="21"/>
  <c r="H102" i="21"/>
  <c r="P28" i="12"/>
  <c r="Q28" i="12"/>
  <c r="C12" i="12"/>
  <c r="E35" i="11"/>
  <c r="P24" i="12"/>
  <c r="K27" i="21"/>
  <c r="L27" i="21"/>
  <c r="J63" i="21"/>
  <c r="J54" i="21"/>
  <c r="K54" i="21"/>
  <c r="L54" i="21"/>
  <c r="J50" i="21"/>
  <c r="K50" i="21"/>
  <c r="L50" i="21"/>
  <c r="J37" i="21"/>
  <c r="J24" i="21"/>
  <c r="J66" i="21"/>
  <c r="K66" i="21"/>
  <c r="L66" i="21"/>
  <c r="J53" i="21"/>
  <c r="J40" i="21"/>
  <c r="K40" i="21"/>
  <c r="L40" i="21"/>
  <c r="J25" i="21"/>
  <c r="J52" i="21"/>
  <c r="K52" i="21"/>
  <c r="L52" i="21"/>
  <c r="P52" i="21"/>
  <c r="J26" i="21"/>
  <c r="M57" i="21"/>
  <c r="N57" i="21"/>
  <c r="O57" i="21"/>
  <c r="M44" i="21"/>
  <c r="N44" i="21"/>
  <c r="O44" i="21"/>
  <c r="M29" i="21"/>
  <c r="N29" i="21"/>
  <c r="O29" i="21"/>
  <c r="M70" i="21"/>
  <c r="N70" i="21"/>
  <c r="O70" i="21"/>
  <c r="M68" i="21"/>
  <c r="N68" i="21"/>
  <c r="O68" i="21"/>
  <c r="M42" i="21"/>
  <c r="N42" i="21"/>
  <c r="O42" i="21"/>
  <c r="P31" i="12"/>
  <c r="Q31" i="12"/>
  <c r="C15" i="12"/>
  <c r="E50" i="11" s="1"/>
  <c r="Q27" i="12"/>
  <c r="C11" i="12" s="1"/>
  <c r="E30" i="11" s="1"/>
  <c r="K63" i="21"/>
  <c r="L63" i="21"/>
  <c r="I25" i="21"/>
  <c r="K25" i="21"/>
  <c r="L25" i="21"/>
  <c r="I29" i="21"/>
  <c r="P29" i="21"/>
  <c r="K29" i="21"/>
  <c r="L29" i="21"/>
  <c r="K53" i="21"/>
  <c r="L53" i="21"/>
  <c r="L27" i="3"/>
  <c r="J27" i="3"/>
  <c r="H27" i="3"/>
  <c r="F65" i="22"/>
  <c r="F59" i="22"/>
  <c r="F77" i="22"/>
  <c r="F71" i="22"/>
  <c r="F30" i="22"/>
  <c r="F54" i="22"/>
  <c r="F83" i="22"/>
  <c r="F72" i="22"/>
  <c r="N73" i="22"/>
  <c r="B15" i="22"/>
  <c r="F66" i="22"/>
  <c r="F36" i="22"/>
  <c r="F78" i="22"/>
  <c r="F29" i="22"/>
  <c r="G29" i="22"/>
  <c r="F60" i="22"/>
  <c r="F35" i="22"/>
  <c r="F42" i="22"/>
  <c r="F124" i="22"/>
  <c r="F116" i="22"/>
  <c r="F108" i="22"/>
  <c r="F120" i="22"/>
  <c r="F122" i="22"/>
  <c r="F112" i="22"/>
  <c r="F140" i="22"/>
  <c r="F134" i="22"/>
  <c r="F130" i="22"/>
  <c r="F136" i="22"/>
  <c r="F146" i="22"/>
  <c r="F138" i="22"/>
  <c r="F128" i="22"/>
  <c r="F142" i="22"/>
  <c r="F144" i="22"/>
  <c r="F132" i="22"/>
  <c r="N146" i="22"/>
  <c r="E16" i="22" s="1"/>
  <c r="F16" i="22" s="1"/>
  <c r="E53" i="11" s="1"/>
  <c r="N128" i="22"/>
  <c r="E7" i="22" s="1"/>
  <c r="N134" i="22"/>
  <c r="N138" i="22"/>
  <c r="E12" i="22"/>
  <c r="F139" i="22"/>
  <c r="N92" i="22"/>
  <c r="C10" i="22" s="1"/>
  <c r="F10" i="22" s="1"/>
  <c r="E23" i="11" s="1"/>
  <c r="N55" i="22"/>
  <c r="B12" i="22"/>
  <c r="N96" i="22"/>
  <c r="C12" i="22" s="1"/>
  <c r="F12" i="22" s="1"/>
  <c r="E33" i="11" s="1"/>
  <c r="H27" i="21"/>
  <c r="I27" i="21"/>
  <c r="P27" i="21"/>
  <c r="H118" i="21"/>
  <c r="H79" i="21"/>
  <c r="H54" i="21"/>
  <c r="I54" i="21"/>
  <c r="P54" i="21"/>
  <c r="H106" i="21"/>
  <c r="H41" i="21"/>
  <c r="H145" i="21"/>
  <c r="H40" i="21"/>
  <c r="I40" i="21"/>
  <c r="P40" i="21"/>
  <c r="H119" i="21"/>
  <c r="I66" i="21"/>
  <c r="P66" i="21"/>
  <c r="H93" i="21"/>
  <c r="H53" i="21"/>
  <c r="I53" i="21"/>
  <c r="P53" i="21"/>
  <c r="H144" i="21"/>
  <c r="D13" i="21"/>
  <c r="E34" i="11" s="1"/>
  <c r="P114" i="21"/>
  <c r="D14" i="21" s="1"/>
  <c r="E39" i="11" s="1"/>
  <c r="P127" i="21"/>
  <c r="D15" i="21"/>
  <c r="E44" i="11" s="1"/>
  <c r="I70" i="21"/>
  <c r="P70" i="21"/>
  <c r="P75" i="21" s="1"/>
  <c r="D11" i="21" s="1"/>
  <c r="E24" i="11" s="1"/>
  <c r="H135" i="21"/>
  <c r="H31" i="21"/>
  <c r="H44" i="21"/>
  <c r="I44" i="21"/>
  <c r="P44" i="21"/>
  <c r="I57" i="21"/>
  <c r="P57" i="21"/>
  <c r="H83" i="21"/>
  <c r="H148" i="21"/>
  <c r="H109" i="21"/>
  <c r="P51" i="21"/>
  <c r="N26" i="21"/>
  <c r="O26" i="21"/>
  <c r="K26" i="21"/>
  <c r="L26" i="21"/>
  <c r="I26" i="21"/>
  <c r="N37" i="21"/>
  <c r="O37" i="21"/>
  <c r="P37" i="21"/>
  <c r="P49" i="21" s="1"/>
  <c r="D9" i="21" s="1"/>
  <c r="P26" i="21"/>
  <c r="M25" i="3"/>
  <c r="D8" i="3"/>
  <c r="E17" i="11" s="1"/>
  <c r="G17" i="11"/>
  <c r="M26" i="3"/>
  <c r="D9" i="3" s="1"/>
  <c r="E22" i="11" s="1"/>
  <c r="G22" i="11"/>
  <c r="M27" i="3"/>
  <c r="D10" i="3"/>
  <c r="E27" i="11" s="1"/>
  <c r="G27" i="11"/>
  <c r="J122" i="22"/>
  <c r="J110" i="22"/>
  <c r="J120" i="22"/>
  <c r="J118" i="22"/>
  <c r="J126" i="22"/>
  <c r="J124" i="22"/>
  <c r="J116" i="22"/>
  <c r="J112" i="22"/>
  <c r="J108" i="22"/>
  <c r="J114" i="22"/>
  <c r="N109" i="22"/>
  <c r="D8" i="22"/>
  <c r="J117" i="22"/>
  <c r="J125" i="22"/>
  <c r="J115" i="22"/>
  <c r="J109" i="22"/>
  <c r="J113" i="22"/>
  <c r="J119" i="22"/>
  <c r="J107" i="22"/>
  <c r="J121" i="22"/>
  <c r="J111" i="22"/>
  <c r="J123" i="22"/>
  <c r="N113" i="22"/>
  <c r="D10" i="22"/>
  <c r="N107" i="22"/>
  <c r="D7" i="22"/>
  <c r="N123" i="22"/>
  <c r="D15" i="22"/>
  <c r="F15" i="22" s="1"/>
  <c r="E48" i="11" s="1"/>
  <c r="N79" i="22"/>
  <c r="B16" i="22"/>
  <c r="K39" i="22"/>
  <c r="N49" i="22"/>
  <c r="B11" i="22"/>
  <c r="F11" i="22" s="1"/>
  <c r="E28" i="11" s="1"/>
  <c r="J40" i="22"/>
  <c r="K45" i="22"/>
  <c r="K33" i="22"/>
  <c r="J98" i="22"/>
  <c r="J104" i="22"/>
  <c r="J32" i="22"/>
  <c r="J62" i="22"/>
  <c r="J74" i="22"/>
  <c r="J92" i="22"/>
  <c r="J38" i="22"/>
  <c r="B13" i="22"/>
  <c r="F13" i="22" s="1"/>
  <c r="E38" i="11" s="1"/>
  <c r="H55" i="22"/>
  <c r="H73" i="22"/>
  <c r="H37" i="22"/>
  <c r="I37" i="22"/>
  <c r="H61" i="22"/>
  <c r="H31" i="22"/>
  <c r="I31" i="22"/>
  <c r="H79" i="22"/>
  <c r="H49" i="22"/>
  <c r="H25" i="22"/>
  <c r="I25" i="22"/>
  <c r="H67" i="22"/>
  <c r="H43" i="22"/>
  <c r="I43" i="22"/>
  <c r="N111" i="22"/>
  <c r="D9" i="22"/>
  <c r="N119" i="22"/>
  <c r="D13" i="22"/>
  <c r="N115" i="22"/>
  <c r="D11" i="22" s="1"/>
  <c r="D12" i="22"/>
  <c r="N121" i="22"/>
  <c r="D14" i="22"/>
  <c r="N125" i="22"/>
  <c r="D16" i="22"/>
  <c r="H125" i="22"/>
  <c r="M52" i="17"/>
  <c r="C8" i="17" s="1"/>
  <c r="E16" i="11" s="1"/>
  <c r="L39" i="22"/>
  <c r="N37" i="22"/>
  <c r="B9" i="22" s="1"/>
  <c r="G18" i="11"/>
  <c r="H18" i="11"/>
  <c r="M39" i="22"/>
  <c r="L33" i="22"/>
  <c r="M33" i="22"/>
  <c r="L45" i="22"/>
  <c r="N43" i="22" s="1"/>
  <c r="B10" i="22" s="1"/>
  <c r="M45" i="22"/>
  <c r="L37" i="22"/>
  <c r="M37" i="22"/>
  <c r="L31" i="22"/>
  <c r="N31" i="22" s="1"/>
  <c r="B8" i="22"/>
  <c r="F8" i="22" s="1"/>
  <c r="E13" i="11" s="1"/>
  <c r="G13" i="11"/>
  <c r="M31" i="22"/>
  <c r="L43" i="22"/>
  <c r="G23" i="11"/>
  <c r="H23" i="11" s="1"/>
  <c r="M43" i="22"/>
  <c r="E14" i="11"/>
  <c r="L26" i="22"/>
  <c r="M28" i="22" l="1"/>
  <c r="L28" i="22"/>
  <c r="M24" i="3"/>
  <c r="D7" i="3" s="1"/>
  <c r="E12" i="11" s="1"/>
  <c r="F12" i="11" s="1"/>
  <c r="G12" i="11" s="1"/>
  <c r="G59" i="11" s="1"/>
  <c r="N24" i="21"/>
  <c r="O24" i="21" s="1"/>
  <c r="K24" i="21"/>
  <c r="L24" i="21" s="1"/>
  <c r="Q23" i="12"/>
  <c r="C7" i="12" s="1"/>
  <c r="E10" i="11" s="1"/>
  <c r="F10" i="11" s="1"/>
  <c r="M82" i="17"/>
  <c r="C10" i="17" s="1"/>
  <c r="E26" i="11" s="1"/>
  <c r="J39" i="22"/>
  <c r="J58" i="22"/>
  <c r="J33" i="22"/>
  <c r="J34" i="22"/>
  <c r="J63" i="22"/>
  <c r="J64" i="22"/>
  <c r="J70" i="22"/>
  <c r="J27" i="22"/>
  <c r="K27" i="22" s="1"/>
  <c r="J76" i="22"/>
  <c r="J75" i="22"/>
  <c r="F99" i="22"/>
  <c r="F82" i="22"/>
  <c r="F51" i="22"/>
  <c r="F81" i="22"/>
  <c r="F101" i="22"/>
  <c r="F76" i="22"/>
  <c r="F46" i="22"/>
  <c r="F75" i="22"/>
  <c r="F40" i="22"/>
  <c r="F113" i="22"/>
  <c r="F70" i="22"/>
  <c r="F34" i="22"/>
  <c r="F123" i="22"/>
  <c r="F33" i="22"/>
  <c r="F119" i="22"/>
  <c r="F69" i="22"/>
  <c r="F28" i="22"/>
  <c r="F115" i="22"/>
  <c r="F111" i="22"/>
  <c r="F93" i="22"/>
  <c r="F107" i="22"/>
  <c r="F121" i="22"/>
  <c r="F105" i="22"/>
  <c r="F64" i="22"/>
  <c r="F95" i="22"/>
  <c r="F91" i="22"/>
  <c r="F63" i="22"/>
  <c r="F45" i="22"/>
  <c r="F89" i="22"/>
  <c r="F58" i="22"/>
  <c r="F97" i="22"/>
  <c r="F87" i="22"/>
  <c r="F57" i="22"/>
  <c r="J81" i="22"/>
  <c r="F117" i="22"/>
  <c r="M157" i="17"/>
  <c r="C15" i="17" s="1"/>
  <c r="E51" i="11" s="1"/>
  <c r="H34" i="22"/>
  <c r="H70" i="22"/>
  <c r="H52" i="22"/>
  <c r="H28" i="22"/>
  <c r="H69" i="22"/>
  <c r="H51" i="22"/>
  <c r="H33" i="22"/>
  <c r="H27" i="22"/>
  <c r="I27" i="22" s="1"/>
  <c r="L27" i="22" s="1"/>
  <c r="H82" i="22"/>
  <c r="H64" i="22"/>
  <c r="H46" i="22"/>
  <c r="H81" i="22"/>
  <c r="H63" i="22"/>
  <c r="H40" i="22"/>
  <c r="H76" i="22"/>
  <c r="H58" i="22"/>
  <c r="H39" i="22"/>
  <c r="F118" i="22"/>
  <c r="F110" i="22"/>
  <c r="F126" i="22"/>
  <c r="F114" i="22"/>
  <c r="J29" i="22"/>
  <c r="K29" i="22" s="1"/>
  <c r="J35" i="22"/>
  <c r="J84" i="22"/>
  <c r="J60" i="22"/>
  <c r="J30" i="22"/>
  <c r="J83" i="22"/>
  <c r="J59" i="22"/>
  <c r="J78" i="22"/>
  <c r="J54" i="22"/>
  <c r="J77" i="22"/>
  <c r="J53" i="22"/>
  <c r="J72" i="22"/>
  <c r="J48" i="22"/>
  <c r="J71" i="22"/>
  <c r="J47" i="22"/>
  <c r="J42" i="22"/>
  <c r="J66" i="22"/>
  <c r="J41" i="22"/>
  <c r="H68" i="21"/>
  <c r="H81" i="21"/>
  <c r="H69" i="21"/>
  <c r="H147" i="21"/>
  <c r="H30" i="21"/>
  <c r="H94" i="21"/>
  <c r="H42" i="21"/>
  <c r="H121" i="21"/>
  <c r="H146" i="21"/>
  <c r="H108" i="21"/>
  <c r="H29" i="21"/>
  <c r="H55" i="21"/>
  <c r="H75" i="22"/>
  <c r="H111" i="22"/>
  <c r="H113" i="22"/>
  <c r="H117" i="22"/>
  <c r="H123" i="22"/>
  <c r="H115" i="22"/>
  <c r="H121" i="22"/>
  <c r="H109" i="22"/>
  <c r="H107" i="22"/>
  <c r="H119" i="22"/>
  <c r="H77" i="21"/>
  <c r="H76" i="21"/>
  <c r="H128" i="21"/>
  <c r="H63" i="21"/>
  <c r="H78" i="21"/>
  <c r="H64" i="21"/>
  <c r="H39" i="21"/>
  <c r="H50" i="21"/>
  <c r="H129" i="21"/>
  <c r="H115" i="21"/>
  <c r="H25" i="21"/>
  <c r="H104" i="21"/>
  <c r="F39" i="22"/>
  <c r="J69" i="22"/>
  <c r="F109" i="22"/>
  <c r="H82" i="21"/>
  <c r="H88" i="22"/>
  <c r="H86" i="22"/>
  <c r="H44" i="22"/>
  <c r="H38" i="22"/>
  <c r="H32" i="22"/>
  <c r="H100" i="22"/>
  <c r="H102" i="22"/>
  <c r="H74" i="22"/>
  <c r="H80" i="22"/>
  <c r="F135" i="22"/>
  <c r="F137" i="22"/>
  <c r="F147" i="22"/>
  <c r="F131" i="22"/>
  <c r="F129" i="22"/>
  <c r="F141" i="22"/>
  <c r="F143" i="22"/>
  <c r="F145" i="22"/>
  <c r="H72" i="22"/>
  <c r="H54" i="22"/>
  <c r="H71" i="22"/>
  <c r="H53" i="22"/>
  <c r="H30" i="22"/>
  <c r="H84" i="22"/>
  <c r="H66" i="22"/>
  <c r="H48" i="22"/>
  <c r="H83" i="22"/>
  <c r="H65" i="22"/>
  <c r="H47" i="22"/>
  <c r="H42" i="22"/>
  <c r="H29" i="22"/>
  <c r="I29" i="22" s="1"/>
  <c r="H78" i="22"/>
  <c r="H60" i="22"/>
  <c r="H41" i="22"/>
  <c r="H77" i="22"/>
  <c r="H59" i="22"/>
  <c r="H36" i="22"/>
  <c r="M127" i="17"/>
  <c r="C13" i="17" s="1"/>
  <c r="E41" i="11" s="1"/>
  <c r="M63" i="21"/>
  <c r="M141" i="21"/>
  <c r="M105" i="21"/>
  <c r="M89" i="21"/>
  <c r="M67" i="21"/>
  <c r="M54" i="21"/>
  <c r="M104" i="21"/>
  <c r="M65" i="21"/>
  <c r="M119" i="21"/>
  <c r="M103" i="21"/>
  <c r="M118" i="21"/>
  <c r="M102" i="21"/>
  <c r="M26" i="21"/>
  <c r="M117" i="21"/>
  <c r="M66" i="21"/>
  <c r="M27" i="21"/>
  <c r="M50" i="21"/>
  <c r="M132" i="21"/>
  <c r="M116" i="21"/>
  <c r="M80" i="21"/>
  <c r="M40" i="21"/>
  <c r="M131" i="21"/>
  <c r="M115" i="21"/>
  <c r="M79" i="21"/>
  <c r="M41" i="21"/>
  <c r="M24" i="21"/>
  <c r="M130" i="21"/>
  <c r="M78" i="21"/>
  <c r="M39" i="21"/>
  <c r="M145" i="21"/>
  <c r="M129" i="21"/>
  <c r="M93" i="21"/>
  <c r="M77" i="21"/>
  <c r="M37" i="21"/>
  <c r="M144" i="21"/>
  <c r="M128" i="21"/>
  <c r="M92" i="21"/>
  <c r="M76" i="21"/>
  <c r="M143" i="21"/>
  <c r="M91" i="21"/>
  <c r="M51" i="21"/>
  <c r="J26" i="22"/>
  <c r="J96" i="22"/>
  <c r="J94" i="22"/>
  <c r="J88" i="22"/>
  <c r="J56" i="22"/>
  <c r="J68" i="22"/>
  <c r="J86" i="22"/>
  <c r="J50" i="22"/>
  <c r="H147" i="22"/>
  <c r="H141" i="22"/>
  <c r="H131" i="22"/>
  <c r="H139" i="22"/>
  <c r="H129" i="22"/>
  <c r="H145" i="22"/>
  <c r="H133" i="22"/>
  <c r="H135" i="22"/>
  <c r="J149" i="21"/>
  <c r="J133" i="21"/>
  <c r="J97" i="21"/>
  <c r="J81" i="21"/>
  <c r="J45" i="21"/>
  <c r="J42" i="21"/>
  <c r="J148" i="21"/>
  <c r="J96" i="21"/>
  <c r="J43" i="21"/>
  <c r="J147" i="21"/>
  <c r="J95" i="21"/>
  <c r="J146" i="21"/>
  <c r="J110" i="21"/>
  <c r="J94" i="21"/>
  <c r="J109" i="21"/>
  <c r="J31" i="21"/>
  <c r="J108" i="21"/>
  <c r="J32" i="21"/>
  <c r="J44" i="21"/>
  <c r="J123" i="21"/>
  <c r="J107" i="21"/>
  <c r="J71" i="21"/>
  <c r="J30" i="21"/>
  <c r="J68" i="21"/>
  <c r="J122" i="21"/>
  <c r="J69" i="21"/>
  <c r="J121" i="21"/>
  <c r="J136" i="21"/>
  <c r="J120" i="21"/>
  <c r="J84" i="21"/>
  <c r="J135" i="21"/>
  <c r="J83" i="21"/>
  <c r="J56" i="21"/>
  <c r="J51" i="22"/>
  <c r="M97" i="17"/>
  <c r="C11" i="17" s="1"/>
  <c r="E31" i="11" s="1"/>
  <c r="J36" i="22"/>
  <c r="H57" i="21"/>
  <c r="H70" i="21"/>
  <c r="H122" i="21"/>
  <c r="H96" i="21"/>
  <c r="F9" i="22"/>
  <c r="E18" i="11" s="1"/>
  <c r="H134" i="21"/>
  <c r="J57" i="22"/>
  <c r="M67" i="17"/>
  <c r="C9" i="17" s="1"/>
  <c r="E21" i="11" s="1"/>
  <c r="F52" i="22"/>
  <c r="J65" i="22"/>
  <c r="H120" i="21"/>
  <c r="F103" i="22"/>
  <c r="F133" i="22"/>
  <c r="H120" i="22"/>
  <c r="H118" i="22"/>
  <c r="H110" i="22"/>
  <c r="H112" i="22"/>
  <c r="H108" i="22"/>
  <c r="H114" i="22"/>
  <c r="H146" i="22"/>
  <c r="H144" i="22"/>
  <c r="H132" i="22"/>
  <c r="H134" i="22"/>
  <c r="H130" i="22"/>
  <c r="H128" i="22"/>
  <c r="H67" i="21"/>
  <c r="H92" i="21"/>
  <c r="H132" i="21"/>
  <c r="H105" i="21"/>
  <c r="H131" i="21"/>
  <c r="H66" i="21"/>
  <c r="H80" i="21"/>
  <c r="H28" i="21"/>
  <c r="J45" i="22"/>
  <c r="J28" i="22"/>
  <c r="F125" i="22"/>
  <c r="H56" i="21"/>
  <c r="J52" i="22"/>
  <c r="M142" i="17"/>
  <c r="C14" i="17" s="1"/>
  <c r="E46" i="11" s="1"/>
  <c r="H13" i="11"/>
  <c r="J82" i="22"/>
  <c r="J46" i="22"/>
  <c r="H43" i="21"/>
  <c r="M37" i="17"/>
  <c r="C7" i="17" s="1"/>
  <c r="E11" i="11" s="1"/>
  <c r="F11" i="11" s="1"/>
  <c r="H91" i="22"/>
  <c r="H89" i="22"/>
  <c r="H87" i="22"/>
  <c r="H95" i="22"/>
  <c r="H101" i="22"/>
  <c r="H103" i="22"/>
  <c r="H99" i="22"/>
  <c r="H105" i="22"/>
  <c r="F14" i="22"/>
  <c r="E43" i="11" s="1"/>
  <c r="J61" i="22"/>
  <c r="J79" i="22"/>
  <c r="J55" i="22"/>
  <c r="J43" i="22"/>
  <c r="J73" i="22"/>
  <c r="J49" i="22"/>
  <c r="J67" i="22"/>
  <c r="J37" i="22"/>
  <c r="Q26" i="12"/>
  <c r="C10" i="12" s="1"/>
  <c r="E25" i="11" s="1"/>
  <c r="J91" i="22"/>
  <c r="M107" i="21"/>
  <c r="M123" i="21"/>
  <c r="M58" i="21"/>
  <c r="J97" i="22"/>
  <c r="J76" i="21"/>
  <c r="J92" i="21"/>
  <c r="J128" i="21"/>
  <c r="J144" i="21"/>
  <c r="M43" i="21"/>
  <c r="M96" i="21"/>
  <c r="M148" i="21"/>
  <c r="J103" i="22"/>
  <c r="J77" i="21"/>
  <c r="J93" i="21"/>
  <c r="J129" i="21"/>
  <c r="J145" i="21"/>
  <c r="M45" i="21"/>
  <c r="M81" i="21"/>
  <c r="M97" i="21"/>
  <c r="M133" i="21"/>
  <c r="M149" i="21"/>
  <c r="J51" i="21"/>
  <c r="J93" i="22"/>
  <c r="J39" i="21"/>
  <c r="J78" i="21"/>
  <c r="J130" i="21"/>
  <c r="M55" i="21"/>
  <c r="M82" i="21"/>
  <c r="P24" i="21" l="1"/>
  <c r="P36" i="21" s="1"/>
  <c r="M27" i="22"/>
  <c r="M29" i="22"/>
  <c r="L29" i="22"/>
  <c r="N25" i="22" s="1"/>
  <c r="B7" i="22" s="1"/>
  <c r="F7" i="22" s="1"/>
  <c r="E8" i="11" s="1"/>
  <c r="F8" i="11" s="1"/>
  <c r="D8" i="21" l="1"/>
  <c r="E9" i="11"/>
  <c r="F9" i="11" s="1"/>
  <c r="G8" i="11" s="1"/>
  <c r="H8" i="11" l="1"/>
  <c r="G58" i="11"/>
  <c r="G60" i="11" s="1"/>
</calcChain>
</file>

<file path=xl/sharedStrings.xml><?xml version="1.0" encoding="utf-8"?>
<sst xmlns="http://schemas.openxmlformats.org/spreadsheetml/2006/main" count="1762" uniqueCount="773">
  <si>
    <t>US gals</t>
  </si>
  <si>
    <t>Gasoline</t>
  </si>
  <si>
    <t>Diesel</t>
  </si>
  <si>
    <t>Residual</t>
  </si>
  <si>
    <t>Rail</t>
  </si>
  <si>
    <t>Ship</t>
  </si>
  <si>
    <t>Aircraft</t>
  </si>
  <si>
    <t>A</t>
  </si>
  <si>
    <t>B</t>
  </si>
  <si>
    <t>C</t>
  </si>
  <si>
    <t>F</t>
  </si>
  <si>
    <t>H</t>
  </si>
  <si>
    <t>J</t>
  </si>
  <si>
    <t>D</t>
  </si>
  <si>
    <t>G</t>
  </si>
  <si>
    <t>K</t>
  </si>
  <si>
    <t>Facility Information</t>
  </si>
  <si>
    <t>Facility Name</t>
  </si>
  <si>
    <t>Street Address</t>
  </si>
  <si>
    <t>City</t>
  </si>
  <si>
    <t>State</t>
  </si>
  <si>
    <t>Facility ID Number</t>
  </si>
  <si>
    <t>Aggregate Production</t>
  </si>
  <si>
    <t>Asphalt Plant</t>
  </si>
  <si>
    <t>Ready Mixed Concrete</t>
  </si>
  <si>
    <t>Blasting</t>
  </si>
  <si>
    <t>Office Building(s)</t>
  </si>
  <si>
    <t>Other</t>
  </si>
  <si>
    <t>Records Location</t>
  </si>
  <si>
    <t>Contact Person</t>
  </si>
  <si>
    <t>Name</t>
  </si>
  <si>
    <t>Phone</t>
  </si>
  <si>
    <t>Email</t>
  </si>
  <si>
    <t>Step 1</t>
  </si>
  <si>
    <t>Step 2</t>
  </si>
  <si>
    <t>Step 3</t>
  </si>
  <si>
    <t>Step 4</t>
  </si>
  <si>
    <t>Step 5</t>
  </si>
  <si>
    <t>E</t>
  </si>
  <si>
    <t>L</t>
  </si>
  <si>
    <t>M</t>
  </si>
  <si>
    <t>N</t>
  </si>
  <si>
    <t>P</t>
  </si>
  <si>
    <t>Q</t>
  </si>
  <si>
    <t>R</t>
  </si>
  <si>
    <t>S</t>
  </si>
  <si>
    <t>Annual Fuel Use</t>
  </si>
  <si>
    <t>CH4 emissions in short tons per year</t>
  </si>
  <si>
    <t>N2O Emisisons in short tons per year</t>
  </si>
  <si>
    <t>Source</t>
  </si>
  <si>
    <t>Y</t>
  </si>
  <si>
    <t>Propane</t>
  </si>
  <si>
    <t>No. 6 Oil</t>
  </si>
  <si>
    <t>Indirect GHG Emissions from Purchased Electricity</t>
  </si>
  <si>
    <t>Activity Data:             Electricity Purchase</t>
  </si>
  <si>
    <t>See Calculation Table</t>
  </si>
  <si>
    <t>I</t>
  </si>
  <si>
    <t>O</t>
  </si>
  <si>
    <t>T</t>
  </si>
  <si>
    <t>U</t>
  </si>
  <si>
    <t>V</t>
  </si>
  <si>
    <t>HFC-134a</t>
  </si>
  <si>
    <t>HFC-236fa</t>
  </si>
  <si>
    <t>R-401A</t>
  </si>
  <si>
    <t>R-402A</t>
  </si>
  <si>
    <t>R-402B</t>
  </si>
  <si>
    <t>R-404A</t>
  </si>
  <si>
    <t>R-407A</t>
  </si>
  <si>
    <t>R-407B</t>
  </si>
  <si>
    <t>R-407C</t>
  </si>
  <si>
    <t>R-410A</t>
  </si>
  <si>
    <t>R-507 or R-507A</t>
  </si>
  <si>
    <t>R-508A</t>
  </si>
  <si>
    <t>R-508B</t>
  </si>
  <si>
    <t>Records Location (Facility ID Number)</t>
  </si>
  <si>
    <t>Notes</t>
  </si>
  <si>
    <t>Standard Instructions</t>
  </si>
  <si>
    <t>Zip</t>
  </si>
  <si>
    <t>CH4</t>
  </si>
  <si>
    <t>N2O</t>
  </si>
  <si>
    <t>Fuel Type</t>
  </si>
  <si>
    <t>Enter</t>
  </si>
  <si>
    <t>References</t>
  </si>
  <si>
    <t>Facility ID</t>
  </si>
  <si>
    <t>Nat. Gas</t>
  </si>
  <si>
    <t>kWh total for Year</t>
  </si>
  <si>
    <t>CH4 emission factor</t>
  </si>
  <si>
    <t>N2O emission factor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</si>
  <si>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 factor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</si>
  <si>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</t>
    </r>
  </si>
  <si>
    <t>Record Location</t>
  </si>
  <si>
    <t>Based on CCAR Table Appendix C-5, gasoline fuel</t>
  </si>
  <si>
    <t>Direct</t>
  </si>
  <si>
    <t>Emission Type</t>
  </si>
  <si>
    <t>Mobile Sources</t>
  </si>
  <si>
    <t>Stationary Source Fuel Combustion</t>
  </si>
  <si>
    <t>Indirect</t>
  </si>
  <si>
    <t>Purchased Power</t>
  </si>
  <si>
    <t>Source Type</t>
  </si>
  <si>
    <t>Use Additional copies of Form GHG-1, if necessary</t>
  </si>
  <si>
    <t>PA</t>
  </si>
  <si>
    <t>NC</t>
  </si>
  <si>
    <t>SC</t>
  </si>
  <si>
    <t>Pulverized Minerals</t>
  </si>
  <si>
    <t>Operations (Y or blank)</t>
  </si>
  <si>
    <t>Description</t>
  </si>
  <si>
    <t>GHG</t>
  </si>
  <si>
    <t>Lbs Nox /Ton ANFO</t>
  </si>
  <si>
    <t>N2O per unit Nox</t>
  </si>
  <si>
    <t>ANFO tons per Year</t>
  </si>
  <si>
    <t>Note: Portions of this form are based on information and procedures published by World Resources Institute.  Used with permission</t>
  </si>
  <si>
    <t>Summary Report</t>
  </si>
  <si>
    <t>Energy content of fuel combusted, MMBTU per Year</t>
  </si>
  <si>
    <t>GWP Multiplier Tons CO2e per Ton N2O</t>
  </si>
  <si>
    <t>Direct GHG Emissions from Blasting</t>
  </si>
  <si>
    <t>CO2</t>
  </si>
  <si>
    <t>Fuel Oil Content, %</t>
  </si>
  <si>
    <t>Oxidation Factor</t>
  </si>
  <si>
    <t>Tons CO2 per Year</t>
  </si>
  <si>
    <t xml:space="preserve">GHG </t>
  </si>
  <si>
    <t>CH4 emissions, in CO2e short tons</t>
  </si>
  <si>
    <t>GWP Factor</t>
  </si>
  <si>
    <t xml:space="preserve">N2O Emissions in CO2e Short Tons </t>
  </si>
  <si>
    <t>Total CO2e, short tons per year</t>
  </si>
  <si>
    <t>Total CO2e Due to Blasting</t>
  </si>
  <si>
    <t>Aviation gasoline</t>
  </si>
  <si>
    <t>CO2e Emissions</t>
  </si>
  <si>
    <t>Fraction of CO2e Due to CO2</t>
  </si>
  <si>
    <t>Facility</t>
  </si>
  <si>
    <t>Facility Notes</t>
  </si>
  <si>
    <t>On-Road and Off-Road Vehicles</t>
  </si>
  <si>
    <t>Total Facility</t>
  </si>
  <si>
    <t>SUMMARY TABLE</t>
  </si>
  <si>
    <t>SUMMARY TABLE, CO2e Emissions, Short Tons/Year</t>
  </si>
  <si>
    <t>CALCULATION TABLE</t>
  </si>
  <si>
    <t>Total CO2e, Short Tons per Year</t>
  </si>
  <si>
    <t>Lbs Fuel Oil/Yr</t>
  </si>
  <si>
    <t>Wt fraction carbon</t>
  </si>
  <si>
    <t>(lb/MWh)</t>
  </si>
  <si>
    <t>(lb/GWh)</t>
  </si>
  <si>
    <t>AKGD</t>
  </si>
  <si>
    <t>ASCC Alaska Grid</t>
  </si>
  <si>
    <t>AKMS</t>
  </si>
  <si>
    <t>ASCC Miscellaneous</t>
  </si>
  <si>
    <t>WECC Southwest</t>
  </si>
  <si>
    <t>AZNM</t>
  </si>
  <si>
    <t>CAMX</t>
  </si>
  <si>
    <t>WeCC California</t>
  </si>
  <si>
    <t>ERCT</t>
  </si>
  <si>
    <t>ERCOT All</t>
  </si>
  <si>
    <t>FRCC</t>
  </si>
  <si>
    <t>FRCC All</t>
  </si>
  <si>
    <t>HIMS</t>
  </si>
  <si>
    <t>HICC Miscellaneous</t>
  </si>
  <si>
    <t>HIOA</t>
  </si>
  <si>
    <t>HICC Oahu</t>
  </si>
  <si>
    <t>MORE</t>
  </si>
  <si>
    <t>MRO East</t>
  </si>
  <si>
    <t>MROW</t>
  </si>
  <si>
    <t>MRO West</t>
  </si>
  <si>
    <t>NEWE</t>
  </si>
  <si>
    <t>NPCC New England</t>
  </si>
  <si>
    <t>NWPP</t>
  </si>
  <si>
    <t>WECC Northwest</t>
  </si>
  <si>
    <t>NYCW</t>
  </si>
  <si>
    <t>NPCC NYC/Westchester</t>
  </si>
  <si>
    <t>NYLI</t>
  </si>
  <si>
    <t>NPCC Long Island</t>
  </si>
  <si>
    <t>NYUP</t>
  </si>
  <si>
    <t>NPCC Upstate NY</t>
  </si>
  <si>
    <t>RFCE</t>
  </si>
  <si>
    <t>RFC East</t>
  </si>
  <si>
    <t>RFCM</t>
  </si>
  <si>
    <t>RFC Michigan</t>
  </si>
  <si>
    <t>RFC West</t>
  </si>
  <si>
    <t>RFCW</t>
  </si>
  <si>
    <t>RMPA</t>
  </si>
  <si>
    <t>WECC Rockies</t>
  </si>
  <si>
    <t>SPNO</t>
  </si>
  <si>
    <t>SPP North</t>
  </si>
  <si>
    <t>SPSO</t>
  </si>
  <si>
    <t>SPP South</t>
  </si>
  <si>
    <t>SRMV</t>
  </si>
  <si>
    <t>SERC Mississippi Valley</t>
  </si>
  <si>
    <t>SRMW</t>
  </si>
  <si>
    <t>SERC Midwest</t>
  </si>
  <si>
    <t xml:space="preserve">SRSO </t>
  </si>
  <si>
    <t>SERC South</t>
  </si>
  <si>
    <t>SRTV</t>
  </si>
  <si>
    <t>SERC Tennessee Valley</t>
  </si>
  <si>
    <t xml:space="preserve">SRVC </t>
  </si>
  <si>
    <t>SERC Virginia/Carolina</t>
  </si>
  <si>
    <t>U.S.</t>
  </si>
  <si>
    <t>State and eGRID Area (See eGRID Map)</t>
  </si>
  <si>
    <t>Note: Portions of this form are based on information and procedures published by the Climate Registry.  Used with permission</t>
  </si>
  <si>
    <t>HFC and PFC Emissions, Screening Method</t>
  </si>
  <si>
    <t>Enter Refrigerant Used</t>
  </si>
  <si>
    <t>Enter Quantity of Refigerant Charged into New Equipment, Pounds</t>
  </si>
  <si>
    <t>Enter Total Full Charge of the Equipment, Pounds</t>
  </si>
  <si>
    <t>Enter Total Full Charge in Equipment being Disposed, Pounds</t>
  </si>
  <si>
    <t xml:space="preserve"> </t>
  </si>
  <si>
    <t>Mobile Source AC (Insert additional lines as needed)</t>
  </si>
  <si>
    <t>Building AC (Insert additional lines as needed.)</t>
  </si>
  <si>
    <t>Refrigerators (Insert additional lines as needed.)</t>
  </si>
  <si>
    <t>Enter Global Warming Potential Factor for Refrigerant or Refigerant Blend         (See Table 1)</t>
  </si>
  <si>
    <t>Refrigerant Remaining at Time of Disposal, fraction</t>
  </si>
  <si>
    <t>Recovery Efficiency, fraction</t>
  </si>
  <si>
    <t>Operating Emission Factor, fraction</t>
  </si>
  <si>
    <t>Time in Equipment, Years</t>
  </si>
  <si>
    <t>Installation Emission Factor, fraction</t>
  </si>
  <si>
    <t>Hydrofluorocarbons (HFCs)</t>
  </si>
  <si>
    <t>Perfluorocarbons (PFCs)</t>
  </si>
  <si>
    <t>Source: Intergovernmental Panel on Climate Change (IPCC) Second Assessment Report</t>
  </si>
  <si>
    <t>published in 1995, unless no value was assigned in the document. In that case, the GWP</t>
  </si>
  <si>
    <t>values are from the IPCC Third Assessment Report published in 2001 (those marked with *).</t>
  </si>
  <si>
    <t>GWP values are from the Second Assessment Report (unless otherwise noted) to be</t>
  </si>
  <si>
    <t>consistent with international practices. Values are 100-year GWP values.</t>
  </si>
  <si>
    <t>HFC-23</t>
  </si>
  <si>
    <t>CHF3</t>
  </si>
  <si>
    <t>Trifluoromethane</t>
  </si>
  <si>
    <t>HFC-41</t>
  </si>
  <si>
    <t>CH3F</t>
  </si>
  <si>
    <t>Fluoromethane</t>
  </si>
  <si>
    <t>HFC-43-10mee</t>
  </si>
  <si>
    <t>C5H2F10</t>
  </si>
  <si>
    <t>1,1,1,2,3,4,4,5,5,5-decafluoropentane</t>
  </si>
  <si>
    <t>HFR-125</t>
  </si>
  <si>
    <t>C2HF5</t>
  </si>
  <si>
    <t>Pentafluoroethane</t>
  </si>
  <si>
    <t>HFC-134</t>
  </si>
  <si>
    <t>C2H2F4</t>
  </si>
  <si>
    <t>1,1,2,2-tetrafluoroethane</t>
  </si>
  <si>
    <t>1,1,1,2,-tetrafluorethane</t>
  </si>
  <si>
    <t>HFC-143</t>
  </si>
  <si>
    <t>C2H3F3</t>
  </si>
  <si>
    <t>1,1,2-trifluoroethane</t>
  </si>
  <si>
    <t>HCR-143a</t>
  </si>
  <si>
    <t>1,1,1-trifluoroethane</t>
  </si>
  <si>
    <t>HRC-152</t>
  </si>
  <si>
    <t>HFC-152a</t>
  </si>
  <si>
    <t>C2H4F2</t>
  </si>
  <si>
    <t>1,1-difluoroethane</t>
  </si>
  <si>
    <t>HFC-161</t>
  </si>
  <si>
    <t>C2H5F</t>
  </si>
  <si>
    <t>fluoroethane</t>
  </si>
  <si>
    <t>12*</t>
  </si>
  <si>
    <t>43*</t>
  </si>
  <si>
    <t>1,2-difluoroethane</t>
  </si>
  <si>
    <t>HFC-227ea</t>
  </si>
  <si>
    <t>C3HF7</t>
  </si>
  <si>
    <t>1,1,1,2,3,3,3-heptafluoropropane</t>
  </si>
  <si>
    <t>HFC-236cb</t>
  </si>
  <si>
    <t>C3H2F6</t>
  </si>
  <si>
    <t>1,1,1,2,2,3-hexafluoropropane</t>
  </si>
  <si>
    <t>1,300*</t>
  </si>
  <si>
    <t>HFR-236ea</t>
  </si>
  <si>
    <t>1,1,1,2,3,3-hexafluoropropane</t>
  </si>
  <si>
    <t>1,200*</t>
  </si>
  <si>
    <t>1,1,1,3,3,3-hexafluoroporopane</t>
  </si>
  <si>
    <t>HFC-245ca</t>
  </si>
  <si>
    <t>C3H3F5</t>
  </si>
  <si>
    <t>1,1,2,2,3-pentafluoropropane</t>
  </si>
  <si>
    <t>HFC-245fa</t>
  </si>
  <si>
    <t>C3HcF5</t>
  </si>
  <si>
    <t>1,1,1,3,3-pentafluoropropane</t>
  </si>
  <si>
    <t>950*</t>
  </si>
  <si>
    <t>HFR-365mfc</t>
  </si>
  <si>
    <t>C4H5F5</t>
  </si>
  <si>
    <t>1,1,1,3,3-pentafluorobutane</t>
  </si>
  <si>
    <t>890*</t>
  </si>
  <si>
    <t>Perfluoromethane</t>
  </si>
  <si>
    <t>CF4</t>
  </si>
  <si>
    <t>tetrafluoromethane</t>
  </si>
  <si>
    <t>Perfluoroethane</t>
  </si>
  <si>
    <t>Perfluoropropane</t>
  </si>
  <si>
    <t>C3F8</t>
  </si>
  <si>
    <t>Octafluoropropane</t>
  </si>
  <si>
    <t>Hexafluoroethane</t>
  </si>
  <si>
    <t>C3F6</t>
  </si>
  <si>
    <t>Perflourobutane</t>
  </si>
  <si>
    <t>C4F10</t>
  </si>
  <si>
    <t>Decafluorobutane</t>
  </si>
  <si>
    <t>Perfluorocyclobutane</t>
  </si>
  <si>
    <t>C-C4F8</t>
  </si>
  <si>
    <t>Octofluorocyclobutane</t>
  </si>
  <si>
    <t>Perfluoropentane</t>
  </si>
  <si>
    <t>C5F12</t>
  </si>
  <si>
    <t>Dodecafluoropentane</t>
  </si>
  <si>
    <t>Perfluorohexane</t>
  </si>
  <si>
    <t>C6F14</t>
  </si>
  <si>
    <t>tetradecafluorohexane</t>
  </si>
  <si>
    <t>R-401B</t>
  </si>
  <si>
    <t>R-401C</t>
  </si>
  <si>
    <t>R-403A</t>
  </si>
  <si>
    <t>R-403B</t>
  </si>
  <si>
    <t>R-406A</t>
  </si>
  <si>
    <t>R-407D</t>
  </si>
  <si>
    <t>R-407E</t>
  </si>
  <si>
    <t>R-408A</t>
  </si>
  <si>
    <t>R-409A</t>
  </si>
  <si>
    <t>R-409B</t>
  </si>
  <si>
    <t>R-410B</t>
  </si>
  <si>
    <t>R-411A</t>
  </si>
  <si>
    <t>R-411B</t>
  </si>
  <si>
    <t>R-412A</t>
  </si>
  <si>
    <t>R-413A</t>
  </si>
  <si>
    <t>R-414A</t>
  </si>
  <si>
    <t>R-414B</t>
  </si>
  <si>
    <t>R-415A</t>
  </si>
  <si>
    <t>R-415B</t>
  </si>
  <si>
    <t>R-416A</t>
  </si>
  <si>
    <t>R-417A</t>
  </si>
  <si>
    <t>R-418A</t>
  </si>
  <si>
    <t>R-419A</t>
  </si>
  <si>
    <t>R-420A</t>
  </si>
  <si>
    <t>R-500</t>
  </si>
  <si>
    <t>R-501</t>
  </si>
  <si>
    <t>R-502</t>
  </si>
  <si>
    <t>R-503</t>
  </si>
  <si>
    <t>R-504</t>
  </si>
  <si>
    <t>R-505</t>
  </si>
  <si>
    <t>R-506</t>
  </si>
  <si>
    <t>Refrigerant Blend</t>
  </si>
  <si>
    <t>Global Warming Potential</t>
  </si>
  <si>
    <t>Chemical Name</t>
  </si>
  <si>
    <t>Formula</t>
  </si>
  <si>
    <t>Refrigerant</t>
  </si>
  <si>
    <t>Direct GHG Emissions from Stationary Combustion</t>
  </si>
  <si>
    <t>Direct GHG Emissions from Mobile Source CO2 Emissions</t>
  </si>
  <si>
    <t>eGRID Map, U.S. Environmental Protection Agency</t>
  </si>
  <si>
    <t>eGRID Factors</t>
  </si>
  <si>
    <t>Subregion</t>
  </si>
  <si>
    <t>eGRID Subregion Name</t>
  </si>
  <si>
    <t>Total Annual Emissions, Tons, L=(D*E)+(F*G*H)+(I*J*K)</t>
  </si>
  <si>
    <t>CO2-Equivalent Emissions (Tons)
M=L*C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</si>
  <si>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in short tons per year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</si>
  <si>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 lbs per MMBTU per year</t>
    </r>
  </si>
  <si>
    <t>Compound</t>
  </si>
  <si>
    <t>GWP</t>
  </si>
  <si>
    <t>GWP Table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</si>
  <si>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</si>
  <si>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</si>
  <si>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</si>
  <si>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Tiel C Calculation Method-The Climate Registry</t>
  </si>
  <si>
    <t>N2O Emissions, Lbs per MMBTU</t>
  </si>
  <si>
    <t>b</t>
  </si>
  <si>
    <t>CO2e Emissions as N2O</t>
  </si>
  <si>
    <t>CO2e Emissions as CH4</t>
  </si>
  <si>
    <t>Total CO2e Emissions</t>
  </si>
  <si>
    <t>M=H+J+L</t>
  </si>
  <si>
    <t>CO2e Short Tons per Year</t>
  </si>
  <si>
    <t>Summary Table</t>
  </si>
  <si>
    <t>L = F*K*GWP/ 2,000</t>
  </si>
  <si>
    <t>J=F*I*GWP/ 2,000</t>
  </si>
  <si>
    <t>Note 1.</t>
  </si>
  <si>
    <t xml:space="preserve">Note 2. </t>
  </si>
  <si>
    <t>If there is any uncertainty regarding eGRID emission factors,</t>
  </si>
  <si>
    <t>Note 3.</t>
  </si>
  <si>
    <t>eGRID2007 factors apply to 2005, these are the latest data available</t>
  </si>
  <si>
    <t>White</t>
  </si>
  <si>
    <t>Data Entry</t>
  </si>
  <si>
    <t>Factors</t>
  </si>
  <si>
    <t>Yellow</t>
  </si>
  <si>
    <t>Calculations</t>
  </si>
  <si>
    <t>Grey</t>
  </si>
  <si>
    <t>Codes</t>
  </si>
  <si>
    <t>Instructions</t>
  </si>
  <si>
    <t>Blue</t>
  </si>
  <si>
    <t>Instructions and Notes</t>
  </si>
  <si>
    <t>Instruction and Notes</t>
  </si>
  <si>
    <t xml:space="preserve">Blasting Calculation Form </t>
  </si>
  <si>
    <t>Table 1. Refrigerant GWPs</t>
  </si>
  <si>
    <t>Table 2. Blend GWPs</t>
  </si>
  <si>
    <t>Mobile Source Form</t>
  </si>
  <si>
    <t>Purchased Electricity Form</t>
  </si>
  <si>
    <t>HFC and PFC Form</t>
  </si>
  <si>
    <t>This form summarizes HFC and PFC emissions from air conditioners and</t>
  </si>
  <si>
    <t>refrigerators</t>
  </si>
  <si>
    <t xml:space="preserve">This form can be used as long as the CO2e emissions due to HFCs and </t>
  </si>
  <si>
    <t>PFCs total less than 5% of the total facility CO2e emissions.</t>
  </si>
  <si>
    <t>Note 2.</t>
  </si>
  <si>
    <t xml:space="preserve">Note 3. </t>
  </si>
  <si>
    <t>CO2e emissions are calculated in short tons</t>
  </si>
  <si>
    <t xml:space="preserve">Note 4. </t>
  </si>
  <si>
    <t xml:space="preserve">This form is based on The Climate Registry Tier C calculations of </t>
  </si>
  <si>
    <t>HFC and PFC emissions.</t>
  </si>
  <si>
    <t>Units of Measure</t>
  </si>
  <si>
    <t>Uniits of Measure</t>
  </si>
  <si>
    <t>Total</t>
  </si>
  <si>
    <t>Fuel</t>
  </si>
  <si>
    <t>Stationary Combustion Table</t>
  </si>
  <si>
    <t>Total Facility CO2e Emissions, Metric Tons per Year</t>
  </si>
  <si>
    <t>Facility 1 Subtotal</t>
  </si>
  <si>
    <t>Facility 2 Subtotal</t>
  </si>
  <si>
    <t>Facility 3 Subtotal</t>
  </si>
  <si>
    <t>Facility 4 Subtotal</t>
  </si>
  <si>
    <t>Facility 5 Subtotal</t>
  </si>
  <si>
    <t>Facility 6 Subtotal</t>
  </si>
  <si>
    <t>Facility 7 Subtotal</t>
  </si>
  <si>
    <t>Facility 8 Subtotal</t>
  </si>
  <si>
    <t>Facility 9 Subtotal</t>
  </si>
  <si>
    <t>Facility 10 Subtotal</t>
  </si>
  <si>
    <t>HFC, PFC</t>
  </si>
  <si>
    <t xml:space="preserve">This form provides a Tier C estimate of CO2e emissions based on </t>
  </si>
  <si>
    <t>procedures in Tables 12.1 and 12.9 of the Climate Registry Protocol</t>
  </si>
  <si>
    <t>May 2008.</t>
  </si>
  <si>
    <t xml:space="preserve">Higher heating values for natural gas is 1029 BTU/SCF, for propane </t>
  </si>
  <si>
    <t>is 91,000 BTU/gal, for No. 2 oil is 139,050 Btu/Gal</t>
  </si>
  <si>
    <t>CO2 per year in Short Tons</t>
  </si>
  <si>
    <t>CO2e as N2O per year in Short tons</t>
  </si>
  <si>
    <t>Fuel Quantity use per Year</t>
  </si>
  <si>
    <t>Fuel Units of Measure</t>
  </si>
  <si>
    <t>Fuel Measured in Gallons</t>
  </si>
  <si>
    <t>kg CO2/gallon</t>
  </si>
  <si>
    <t>Lbs CO2/Gallon</t>
  </si>
  <si>
    <t>Motor Gasoline</t>
  </si>
  <si>
    <t>Aviation Gasoline</t>
  </si>
  <si>
    <t>Jet Fuel (Jet A or A-1)</t>
  </si>
  <si>
    <t>Kerosene</t>
  </si>
  <si>
    <t>Residual Oil No 5 or No. 6</t>
  </si>
  <si>
    <t>Diesel Fuel No. 1 and No. 2</t>
  </si>
  <si>
    <t>Biodiesel</t>
  </si>
  <si>
    <t>Ethanol (E100)</t>
  </si>
  <si>
    <t>Methanol</t>
  </si>
  <si>
    <t>Liquified Natural Gas</t>
  </si>
  <si>
    <t>Liquified Petroleum Gas</t>
  </si>
  <si>
    <t>Ethane</t>
  </si>
  <si>
    <t>Isobutane</t>
  </si>
  <si>
    <t>n-Butane</t>
  </si>
  <si>
    <t>1. TCR references EPA Climate Leaders, Mobile Combustion Guidance, 2007</t>
  </si>
  <si>
    <t>2. TCR references California Climate Action Registry, General Reporting Protocol Version 2.2, 2007.</t>
  </si>
  <si>
    <t>User Measured</t>
  </si>
  <si>
    <t xml:space="preserve">Calculated Default </t>
  </si>
  <si>
    <t>The Climate Registry, May 2008, Table 13.1 Default Factors</t>
  </si>
  <si>
    <t>Emission Factor</t>
  </si>
  <si>
    <t>Site Specific Factor</t>
  </si>
  <si>
    <t>Selected Emission Factor</t>
  </si>
  <si>
    <t>Category of Vehicle</t>
  </si>
  <si>
    <t>Highway Vehicle</t>
  </si>
  <si>
    <t>Non-Highway Vehicle</t>
  </si>
  <si>
    <t>Residual Oil</t>
  </si>
  <si>
    <t>Jet Fuel</t>
  </si>
  <si>
    <t>CH4, grams per gal</t>
  </si>
  <si>
    <t>CH4, Lbs per gal</t>
  </si>
  <si>
    <t>N2O, grams per gal</t>
  </si>
  <si>
    <t>N2O, Lbs per gal</t>
  </si>
  <si>
    <t>Highway Vehicles</t>
  </si>
  <si>
    <t>Non-Highway</t>
  </si>
  <si>
    <t>Forklifts</t>
  </si>
  <si>
    <t>Based on TCR, Table 13.5</t>
  </si>
  <si>
    <t>I=E*H*GWP/2000</t>
  </si>
  <si>
    <t>k-E*J*GWP/2000</t>
  </si>
  <si>
    <t>L=G+I+K</t>
  </si>
  <si>
    <t>M=(G/(G+I+K)*100</t>
  </si>
  <si>
    <t>Mobile Source Calculation Table</t>
  </si>
  <si>
    <t>Total Facility CO2e, Short Tons per Year</t>
  </si>
  <si>
    <t>Sum of Entries</t>
  </si>
  <si>
    <t>CO2e as CH4 per year in short tons</t>
  </si>
  <si>
    <t>Lbs CH4 per gallon</t>
  </si>
  <si>
    <t>LbsCO2 per gal</t>
  </si>
  <si>
    <t>Lbs N2O per gal</t>
  </si>
  <si>
    <t>Provides CO2e emissions  based on The Climate Registry</t>
  </si>
  <si>
    <t>May 2008 Protocol emission factors (see tab 3b).</t>
  </si>
  <si>
    <t>Data for propane is an approximation.</t>
  </si>
  <si>
    <t>CH4 and N2O emissions from locomotives using fuels other</t>
  </si>
  <si>
    <t>than diesel oil are based on the diesel oil factors.</t>
  </si>
  <si>
    <t>Bituminous Coal</t>
  </si>
  <si>
    <t>Sub-Bituminous Coal</t>
  </si>
  <si>
    <t>Coke</t>
  </si>
  <si>
    <t>Natural Gas (U.S. Avg.)</t>
  </si>
  <si>
    <t>Distillate Oil (No. 1, No. 2, and No. 4)</t>
  </si>
  <si>
    <t>LPG (Avg for fuel use)</t>
  </si>
  <si>
    <t>MMBTU/Short Ton</t>
  </si>
  <si>
    <t>MMBTU/Barrell</t>
  </si>
  <si>
    <t>BTU/SCF</t>
  </si>
  <si>
    <t>Higher Heating Value</t>
  </si>
  <si>
    <t>kg CO2 per MMBTU</t>
  </si>
  <si>
    <t>kg CO2 per Short Ton</t>
  </si>
  <si>
    <t>Lbs CO2 per MMBTU</t>
  </si>
  <si>
    <t>Lbs CO2 per Short Ton</t>
  </si>
  <si>
    <t>Default CO2 Emissions</t>
  </si>
  <si>
    <t>Category of Fuel</t>
  </si>
  <si>
    <t>Coal, Commercial</t>
  </si>
  <si>
    <t>Coal, Industrial</t>
  </si>
  <si>
    <t>Distillate and Residual Oil, Industrial</t>
  </si>
  <si>
    <t>Natural Gas Commercial</t>
  </si>
  <si>
    <t>Natural Gas Industrial</t>
  </si>
  <si>
    <t>Distillate and Residual Oil, Commercial</t>
  </si>
  <si>
    <t>Category of Combustion Equipment</t>
  </si>
  <si>
    <t>No. 2 Oil</t>
  </si>
  <si>
    <t>This form provides a Tier B estimate of purchased electrical power CO2e</t>
  </si>
  <si>
    <t>and for No. 6 oil is 153,120 Btu,Gas</t>
  </si>
  <si>
    <t>CO3</t>
  </si>
  <si>
    <t>kg CO2 per Gallon</t>
  </si>
  <si>
    <t>Lbs CO2 per Gallon</t>
  </si>
  <si>
    <t>kg CO2 per SCF</t>
  </si>
  <si>
    <t>Lbs CO2 per SCF</t>
  </si>
  <si>
    <t>Note: for Coke-fired units, use coal-industrial factors</t>
  </si>
  <si>
    <t>CH4, grams per MMBTU</t>
  </si>
  <si>
    <t>N2O, grams per MMBTU</t>
  </si>
  <si>
    <t>CH4, Lbs per MMBTU</t>
  </si>
  <si>
    <t>N2O, Lbs per MMBTU</t>
  </si>
  <si>
    <t>CH4 Emissions, Lbs/MMBTU</t>
  </si>
  <si>
    <t>G=D*(E/100)*2000</t>
  </si>
  <si>
    <t>J=G*H*(I/100)/2000</t>
  </si>
  <si>
    <t>Short tons CO2e per year due to N2O</t>
  </si>
  <si>
    <t>Tons N2O/Year</t>
  </si>
  <si>
    <t>P=N*O</t>
  </si>
  <si>
    <t>Q=J+P</t>
  </si>
  <si>
    <t>lb / MWh</t>
  </si>
  <si>
    <t>H = (F/1000)*G / 2,000</t>
  </si>
  <si>
    <t>lb / GWh</t>
  </si>
  <si>
    <t>Abbrev.</t>
  </si>
  <si>
    <t>Alaska</t>
  </si>
  <si>
    <t>AK</t>
  </si>
  <si>
    <t>Alabama</t>
  </si>
  <si>
    <t>AL</t>
  </si>
  <si>
    <t>Arkansas</t>
  </si>
  <si>
    <t>AR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</si>
  <si>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</si>
  <si>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</si>
  <si>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</si>
  <si>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</si>
  <si>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</si>
  <si>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</si>
  <si>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</si>
  <si>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</si>
  <si>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D.C.</t>
  </si>
  <si>
    <t>DC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</si>
  <si>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</si>
  <si>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</si>
  <si>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</si>
  <si>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</si>
  <si>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</si>
  <si>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</si>
  <si>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</si>
  <si>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</si>
  <si>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Iowa</t>
  </si>
  <si>
    <t>IA</t>
  </si>
  <si>
    <t>Indiana</t>
  </si>
  <si>
    <t>ID</t>
  </si>
  <si>
    <t>Illinois</t>
  </si>
  <si>
    <t>IL</t>
  </si>
  <si>
    <t>IN</t>
  </si>
  <si>
    <t>Kansas</t>
  </si>
  <si>
    <t>KS</t>
  </si>
  <si>
    <t>Kentucky</t>
  </si>
  <si>
    <t>KY</t>
  </si>
  <si>
    <t>Lousiana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</si>
  <si>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</si>
  <si>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</si>
  <si>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</si>
  <si>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</si>
  <si>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</si>
  <si>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</si>
  <si>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</si>
  <si>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</si>
  <si>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</si>
  <si>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</si>
  <si>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</si>
  <si>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</si>
  <si>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</si>
  <si>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Mississippi</t>
  </si>
  <si>
    <t>MS</t>
  </si>
  <si>
    <t>Montana</t>
  </si>
  <si>
    <t>MT</t>
  </si>
  <si>
    <t>North Carolina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</si>
  <si>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</si>
  <si>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</si>
  <si>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</si>
  <si>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</si>
  <si>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</si>
  <si>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</si>
  <si>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</si>
  <si>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</si>
  <si>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</si>
  <si>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</si>
  <si>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</si>
  <si>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</si>
  <si>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</si>
  <si>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</si>
  <si>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</si>
  <si>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</si>
  <si>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</si>
  <si>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</si>
  <si>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</si>
  <si>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</si>
  <si>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</si>
  <si>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Rhode Island</t>
  </si>
  <si>
    <t>RI</t>
  </si>
  <si>
    <t>South Carolina</t>
  </si>
  <si>
    <t>South Dakota</t>
  </si>
  <si>
    <t>SD</t>
  </si>
  <si>
    <t>Tennessess</t>
  </si>
  <si>
    <t>TN</t>
  </si>
  <si>
    <t>Texas</t>
  </si>
  <si>
    <t>TX</t>
  </si>
  <si>
    <t>Utah</t>
  </si>
  <si>
    <t>UT</t>
  </si>
  <si>
    <t>Virginia</t>
  </si>
  <si>
    <t>VA</t>
  </si>
  <si>
    <t>Vermont</t>
  </si>
  <si>
    <t>VT</t>
  </si>
  <si>
    <t>Washington</t>
  </si>
  <si>
    <t>WA</t>
  </si>
  <si>
    <t>Wisconsin</t>
  </si>
  <si>
    <t>WI</t>
  </si>
  <si>
    <t>West Virginia</t>
  </si>
  <si>
    <t>WV</t>
  </si>
  <si>
    <t>Wyoming</t>
  </si>
  <si>
    <t>WY</t>
  </si>
  <si>
    <t>Subtotal, Direct Emissions of CO2e, Metric Tons per Year</t>
  </si>
  <si>
    <t>Subtotal, Indirect Emissions of CO2e, Metric Tons per Year</t>
  </si>
  <si>
    <t>TOTAL EMISSIONS OF CO2e, METRIC TONS PER YEAR</t>
  </si>
  <si>
    <t>CO2e Emissions, Short Tons per year</t>
  </si>
  <si>
    <t>CO2e Emissions, Metric Tons per Year</t>
  </si>
  <si>
    <t>Direct and Indirect CO2e Subtotals, Metric Tons per Year</t>
  </si>
  <si>
    <t>W</t>
  </si>
  <si>
    <t>Factor, See Sheet 3b, Table B</t>
  </si>
  <si>
    <t>Factor, See Sheet 3b, Table A</t>
  </si>
  <si>
    <t>Factor,See Sheet 3b, Table C</t>
  </si>
  <si>
    <t>Table A. Mobile Source CO2 Default Emission Factors, Tier C, The Climate Registry</t>
  </si>
  <si>
    <t>Table B. Mobile Source CH4 Default Emission Factors, Tier C, The Climate Registry+C54</t>
  </si>
  <si>
    <t>Table C. Mobile Source N2O Default Emission Factors, Tier C, The Climate Registry</t>
  </si>
  <si>
    <t>G=E*F/2000</t>
  </si>
  <si>
    <t>Factor, See Sheet 4b, Table A</t>
  </si>
  <si>
    <t>F=E*F</t>
  </si>
  <si>
    <t>Factor, See Sheet 4b, Table B</t>
  </si>
  <si>
    <t>Factor, See Sheet 4b, Table C</t>
  </si>
  <si>
    <t>Enter Quantity in Specified Units of Measure</t>
  </si>
  <si>
    <t xml:space="preserve">         </t>
  </si>
  <si>
    <t>I=G*H/2000</t>
  </si>
  <si>
    <t>K=G*J/2000</t>
  </si>
  <si>
    <t>L=GWP*K</t>
  </si>
  <si>
    <t>N=GxM/2000</t>
  </si>
  <si>
    <t>O=GWP*N</t>
  </si>
  <si>
    <t>P=I+L+O</t>
  </si>
  <si>
    <t>SCF</t>
  </si>
  <si>
    <t>U.S Gallons</t>
  </si>
  <si>
    <t>MMBTU per Unit of Fuel       (i.e. SCF or U.S Gal.)</t>
  </si>
  <si>
    <t>Table B. Stationary Source CH4 Default Emission Factors, Table 12.9, The Climate Registry, Tier C Method</t>
  </si>
  <si>
    <t>Table C. Stationary Source N2O Default Emission Factors, Tier C, The Climate Registry, Tier C Method</t>
  </si>
  <si>
    <t>Table A. (Continued) Selected Emission Factor</t>
  </si>
  <si>
    <t>Table B (Continued) Selected Emission Factor</t>
  </si>
  <si>
    <t>Table C (Continued) Selected Emission Factor</t>
  </si>
  <si>
    <t>O=L*M*D/2000</t>
  </si>
  <si>
    <t>Factor, See GWP Table</t>
  </si>
  <si>
    <t>Factor, Assumed</t>
  </si>
  <si>
    <t>Factor, Bureau of Mines Data (1994)</t>
  </si>
  <si>
    <t>Factor, Based on Ultimate Analysis</t>
  </si>
  <si>
    <t>consult http://www.epa.gov/RDEE/energy-and-you/how-clean.html</t>
  </si>
  <si>
    <t>for the CO2 emission factor applicable in your zipcode.</t>
  </si>
  <si>
    <t>if the zipcode-based CO2 emission factor is being used.</t>
  </si>
  <si>
    <t>Table B. eGRID State Average CH4 and N2O Emission Factors, Use only if Subregional Classification is Unclear</t>
  </si>
  <si>
    <t>Table A. eGRID Emission Factors for Subregions</t>
  </si>
  <si>
    <t>Use Sheet 6c. Table B for state average CH4 and N2O factors</t>
  </si>
  <si>
    <t>See eGRID2007 Data (Sheet 6c, Table A) or ZIPCODE-Based List (EPA website)</t>
  </si>
  <si>
    <t>See eGRID2007 Data (Sheet 6c, Table A) or State Avg. Data (Sheet 6c, Table B)</t>
  </si>
  <si>
    <r>
      <t xml:space="preserve"> Short tons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per year</t>
    </r>
  </si>
  <si>
    <t xml:space="preserve"> Short tons CO2e ad CH4 per year</t>
  </si>
  <si>
    <t xml:space="preserve"> Short tons CO2e as N2O per year</t>
  </si>
  <si>
    <t>Short tons CO2e per year</t>
  </si>
  <si>
    <t>GHG Emission Inventory</t>
  </si>
  <si>
    <t>Operations       (Y or N)</t>
  </si>
  <si>
    <t>Designed to support multiple plants, but still allow for facility-specific voluntary reporting</t>
  </si>
  <si>
    <t xml:space="preserve">Tabulates greenhouse gas emissions in units of CO2 equivalent (CO2e).  Includes six categories of greenhouse gases including CO2, CH4, and N2O (not NOx). </t>
  </si>
  <si>
    <t>Program designed for voluntary reporting or internal evaluation.</t>
  </si>
  <si>
    <t>Voluntary reports must be submitted annually and must include direct and indirect emissions. Direct emissions must include mobile sources, stationary source fuel combustion, blasting, and refrigeration/AC. Indirect emissions are due to the use of electricity</t>
  </si>
  <si>
    <t>All calculations are performed in English units.  Results are converted to metric tons to ensure consistency with The Climate Registry and other voluntary reporting organizations.</t>
  </si>
  <si>
    <t>Note: Color codes for cells</t>
  </si>
  <si>
    <t>The program calculates Tier C quality data. These calculations do not require continuous emission monitors, site-specific fuel analyes, or other test data.</t>
  </si>
  <si>
    <t xml:space="preserve">The only data needed to calculate emissions are fuel types and fuel consumption </t>
  </si>
  <si>
    <t>Factors are provided by The Climate Registry</t>
  </si>
  <si>
    <t>Emissions are tabulated as CO2e by taking into account the GWP Factors</t>
  </si>
  <si>
    <t>CO2 is the dominant contributor to CO2e</t>
  </si>
  <si>
    <t>Factors provided by The Climate Registry</t>
  </si>
  <si>
    <t>Site-specific factors can be entered if available. Data provided here overrides The Climate Registry default factors</t>
  </si>
  <si>
    <t>The data needed include fuel type(s) and annual consumption</t>
  </si>
  <si>
    <t>Data needed are the tons of ANFO used per year and the average fuel oil content (if different from 5%)</t>
  </si>
  <si>
    <t>Factor based on Bureau of Mines data from 1994.</t>
  </si>
  <si>
    <t>This is an estimate.</t>
  </si>
  <si>
    <t>The Climate Registry has not recognized blasting as a separate type of source.</t>
  </si>
  <si>
    <t>Data needed includes the total power consumption in kWh and the eGRID area</t>
  </si>
  <si>
    <t>http://www.epa.gov/cleanenergy/energy-and-you/how-clean.html</t>
  </si>
  <si>
    <t>Global Warming Potential (GWP) Factors take into account the impact and longevity of a contaminant on global warming</t>
  </si>
  <si>
    <t>Copyright, NSSGA 2010</t>
  </si>
  <si>
    <t>SRVC</t>
  </si>
  <si>
    <t>Copyright NSSGA 2010</t>
  </si>
  <si>
    <t>Stationary Combustion Emission Factors</t>
  </si>
  <si>
    <t>as of January 2010</t>
  </si>
  <si>
    <t>Updated Numbers</t>
  </si>
  <si>
    <t>Distillate Oil (No. 2)</t>
  </si>
  <si>
    <t>R-407F</t>
  </si>
  <si>
    <t>R-421A</t>
  </si>
  <si>
    <t>R-422A</t>
  </si>
  <si>
    <t>R-422B</t>
  </si>
  <si>
    <t>R422C</t>
  </si>
  <si>
    <t>R-422D</t>
  </si>
  <si>
    <t>R-423A</t>
  </si>
  <si>
    <t>R-424A</t>
  </si>
  <si>
    <t>R-425A</t>
  </si>
  <si>
    <t>R-426A</t>
  </si>
  <si>
    <t>R-427A</t>
  </si>
  <si>
    <t>R-428A</t>
  </si>
  <si>
    <t>R-429A</t>
  </si>
  <si>
    <t>R-430A</t>
  </si>
  <si>
    <t>R-431A</t>
  </si>
  <si>
    <t>R-434A</t>
  </si>
  <si>
    <t>R-435A</t>
  </si>
  <si>
    <t>R-437A</t>
  </si>
  <si>
    <t>R-438A</t>
  </si>
  <si>
    <t>4-439A</t>
  </si>
  <si>
    <t>R-440A</t>
  </si>
  <si>
    <t>R-444A</t>
  </si>
  <si>
    <t>R-444B</t>
  </si>
  <si>
    <t>R-445A</t>
  </si>
  <si>
    <t>R-446A</t>
  </si>
  <si>
    <t>R-447A</t>
  </si>
  <si>
    <t>R-447B</t>
  </si>
  <si>
    <t>R-448A</t>
  </si>
  <si>
    <t>R-449A</t>
  </si>
  <si>
    <t>R-449B</t>
  </si>
  <si>
    <t>R-449C</t>
  </si>
  <si>
    <t>R-450A</t>
  </si>
  <si>
    <t>R-451A</t>
  </si>
  <si>
    <t>R-451B</t>
  </si>
  <si>
    <t>R-452A</t>
  </si>
  <si>
    <t>R-452B</t>
  </si>
  <si>
    <t>R-452C</t>
  </si>
  <si>
    <t>R-453A</t>
  </si>
  <si>
    <t>R-454A</t>
  </si>
  <si>
    <t>R-445B</t>
  </si>
  <si>
    <t>R-454C</t>
  </si>
  <si>
    <t>R-456A</t>
  </si>
  <si>
    <t>R-457A</t>
  </si>
  <si>
    <t>R-458A</t>
  </si>
  <si>
    <t>R-509 or R-509A</t>
  </si>
  <si>
    <t>R-512A</t>
  </si>
  <si>
    <t>R-513A</t>
  </si>
  <si>
    <t>R-513B</t>
  </si>
  <si>
    <t>R-515A</t>
  </si>
  <si>
    <t>R-421B</t>
  </si>
  <si>
    <t>Inventory Year-2020</t>
  </si>
  <si>
    <t>GHG Form 9, February 14, 2020</t>
  </si>
  <si>
    <t>Global Warming Potential Factors - Refrigerant Blends</t>
  </si>
  <si>
    <t>Global Warming Potential Factors - Refrigerants</t>
  </si>
  <si>
    <t>TCR, Table 13.7</t>
  </si>
  <si>
    <t>aircraft jet fuel is old number, no entry in 2018</t>
  </si>
  <si>
    <t>Based on TCR, Table 13.6</t>
  </si>
  <si>
    <t>Pick-Ups, 2014, TCR table 13.5</t>
  </si>
  <si>
    <t>Pick-Ups, 2014, TCR Table 135</t>
  </si>
  <si>
    <t>TCR, Table 12.9.1</t>
  </si>
  <si>
    <t>TCR, Table 12.9.2</t>
  </si>
  <si>
    <t>Delete in future</t>
  </si>
  <si>
    <t>GHG Form 6c, February 14, 2020</t>
  </si>
  <si>
    <t>Inventory Year - 2020</t>
  </si>
  <si>
    <t>GHG Form 6b, February 14, 2020</t>
  </si>
  <si>
    <t>Form 1, February 14, 2020</t>
  </si>
  <si>
    <t>GHG Form 2, February 14, 2020</t>
  </si>
  <si>
    <t>GHG Form 3a, February 14, 2020</t>
  </si>
  <si>
    <t>GHG Form 3b, February 14, 2020</t>
  </si>
  <si>
    <t>GHG Form 4a, February 14, 2020</t>
  </si>
  <si>
    <t>Inventory Year 2020</t>
  </si>
  <si>
    <t>GHG Form 4b, February 14, 2020</t>
  </si>
  <si>
    <t>Copyright NSSGA 2018</t>
  </si>
  <si>
    <t>Source: The Climate Registry, General Protocol, 2008</t>
  </si>
  <si>
    <t>Table A. Default Factors, The Climate Registry,  2018, Table 12.1 (Tier C Method Columns)</t>
  </si>
  <si>
    <t>GHG Form 5, February 14, 2020</t>
  </si>
  <si>
    <t>GHG Form 6a, February 14, 2020</t>
  </si>
  <si>
    <t>GHG Form 7a, February 14, 2020</t>
  </si>
  <si>
    <t>Crushed Stone Plant 1</t>
  </si>
  <si>
    <t>Raleigh</t>
  </si>
  <si>
    <t>MMBTU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</si>
</sst>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000"/>
    <numFmt numFmtId="167" formatCode="#,##0.0000"/>
    <numFmt numFmtId="168" formatCode="#,##0.000"/>
    <numFmt numFmtId="169" formatCode="0.0"/>
    <numFmt numFmtId="170" formatCode="#,##0.00000"/>
    <numFmt numFmtId="171" formatCode="#,##0.000000"/>
  </numFmts>
  <fonts count="57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Trebuchet MS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rebuchet MS"/>
      <family val="2"/>
    </font>
    <font>
      <sz val="12"/>
      <color indexed="9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12"/>
      <name val="Arial"/>
      <family val="2"/>
    </font>
    <font>
      <vertAlign val="subscript"/>
      <sz val="12"/>
      <name val="Trebuchet MS"/>
      <family val="2"/>
    </font>
    <font>
      <b/>
      <vertAlign val="subscript"/>
      <sz val="14"/>
      <name val="Arial"/>
      <family val="2"/>
    </font>
    <font>
      <sz val="10"/>
      <color rgb="FFFF0000"/>
      <name val="Arial"/>
      <family val="2"/>
    </font>
    <font>
      <sz val="12"/>
      <color rgb="FFFF0000"/>
      <name val="Trebuchet MS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22" fillId="3" borderId="3" xfId="0" applyFont="1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Alignment="1">
      <alignment wrapText="1"/>
    </xf>
    <xf numFmtId="0" fontId="20" fillId="3" borderId="3" xfId="0" applyFont="1" applyFill="1" applyBorder="1" applyAlignment="1">
      <alignment wrapText="1"/>
    </xf>
    <xf numFmtId="0" fontId="20" fillId="3" borderId="0" xfId="0" applyFont="1" applyFill="1" applyBorder="1" applyAlignment="1">
      <alignment wrapText="1"/>
    </xf>
    <xf numFmtId="0" fontId="20" fillId="3" borderId="3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27" fillId="3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4" fillId="3" borderId="0" xfId="0" applyFont="1" applyFill="1" applyAlignment="1">
      <alignment horizontal="center" wrapText="1"/>
    </xf>
    <xf numFmtId="0" fontId="38" fillId="4" borderId="1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12" fillId="0" borderId="0" xfId="0" applyFont="1"/>
    <xf numFmtId="0" fontId="0" fillId="0" borderId="1" xfId="0" applyBorder="1"/>
    <xf numFmtId="0" fontId="10" fillId="3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Alignment="1">
      <alignment vertical="center" wrapText="1"/>
    </xf>
    <xf numFmtId="0" fontId="0" fillId="5" borderId="1" xfId="0" applyFill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right"/>
    </xf>
    <xf numFmtId="4" fontId="15" fillId="3" borderId="0" xfId="0" applyNumberFormat="1" applyFont="1" applyFill="1" applyBorder="1" applyAlignment="1" applyProtection="1">
      <alignment horizontal="center" vertical="center" wrapText="1"/>
    </xf>
    <xf numFmtId="2" fontId="15" fillId="5" borderId="1" xfId="0" applyNumberFormat="1" applyFont="1" applyFill="1" applyBorder="1" applyAlignment="1" applyProtection="1">
      <alignment horizontal="center" vertical="center" wrapText="1"/>
    </xf>
    <xf numFmtId="4" fontId="15" fillId="5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/>
    <xf numFmtId="0" fontId="0" fillId="3" borderId="0" xfId="0" applyFill="1" applyAlignment="1">
      <alignment horizontal="right"/>
    </xf>
    <xf numFmtId="0" fontId="10" fillId="3" borderId="0" xfId="0" applyFont="1" applyFill="1"/>
    <xf numFmtId="0" fontId="15" fillId="3" borderId="1" xfId="0" applyFont="1" applyFill="1" applyBorder="1" applyAlignment="1" applyProtection="1">
      <alignment vertical="center" wrapText="1"/>
      <protection locked="0"/>
    </xf>
    <xf numFmtId="4" fontId="15" fillId="3" borderId="2" xfId="0" applyNumberFormat="1" applyFont="1" applyFill="1" applyBorder="1" applyAlignment="1" applyProtection="1">
      <alignment vertical="center" wrapText="1"/>
      <protection locked="0"/>
    </xf>
    <xf numFmtId="4" fontId="15" fillId="5" borderId="1" xfId="0" applyNumberFormat="1" applyFont="1" applyFill="1" applyBorder="1" applyAlignment="1" applyProtection="1">
      <alignment vertical="center" wrapText="1"/>
    </xf>
    <xf numFmtId="2" fontId="15" fillId="5" borderId="1" xfId="0" applyNumberFormat="1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7" fillId="3" borderId="3" xfId="0" applyNumberFormat="1" applyFont="1" applyFill="1" applyBorder="1" applyAlignment="1">
      <alignment wrapText="1"/>
    </xf>
    <xf numFmtId="164" fontId="37" fillId="3" borderId="0" xfId="0" applyNumberFormat="1" applyFont="1" applyFill="1" applyBorder="1" applyAlignment="1">
      <alignment wrapText="1"/>
    </xf>
    <xf numFmtId="0" fontId="0" fillId="2" borderId="1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2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1" fontId="0" fillId="5" borderId="1" xfId="0" applyNumberFormat="1" applyFill="1" applyBorder="1" applyAlignment="1">
      <alignment horizontal="center"/>
    </xf>
    <xf numFmtId="11" fontId="0" fillId="5" borderId="1" xfId="0" applyNumberFormat="1" applyFill="1" applyBorder="1"/>
    <xf numFmtId="11" fontId="0" fillId="5" borderId="1" xfId="0" applyNumberFormat="1" applyFill="1" applyBorder="1" applyAlignment="1">
      <alignment vertical="center" wrapText="1"/>
    </xf>
    <xf numFmtId="169" fontId="0" fillId="5" borderId="1" xfId="0" applyNumberFormat="1" applyFill="1" applyBorder="1"/>
    <xf numFmtId="0" fontId="0" fillId="6" borderId="1" xfId="0" applyFill="1" applyBorder="1"/>
    <xf numFmtId="165" fontId="0" fillId="6" borderId="1" xfId="0" applyNumberFormat="1" applyFill="1" applyBorder="1"/>
    <xf numFmtId="11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/>
    <xf numFmtId="0" fontId="0" fillId="3" borderId="5" xfId="0" applyFill="1" applyBorder="1" applyAlignment="1"/>
    <xf numFmtId="0" fontId="0" fillId="3" borderId="2" xfId="0" applyFill="1" applyBorder="1" applyAlignment="1"/>
    <xf numFmtId="0" fontId="12" fillId="2" borderId="1" xfId="0" applyFont="1" applyFill="1" applyBorder="1" applyAlignment="1">
      <alignment horizontal="center" wrapText="1"/>
    </xf>
    <xf numFmtId="0" fontId="42" fillId="3" borderId="0" xfId="0" applyFont="1" applyFill="1"/>
    <xf numFmtId="0" fontId="42" fillId="3" borderId="0" xfId="0" applyFont="1" applyFill="1" applyBorder="1" applyAlignment="1">
      <alignment vertical="center" wrapText="1"/>
    </xf>
    <xf numFmtId="0" fontId="42" fillId="3" borderId="0" xfId="0" applyFont="1" applyFill="1" applyBorder="1"/>
    <xf numFmtId="0" fontId="42" fillId="3" borderId="0" xfId="0" applyFont="1" applyFill="1" applyAlignment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0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 applyProtection="1">
      <alignment wrapText="1"/>
      <protection locked="0"/>
    </xf>
    <xf numFmtId="0" fontId="20" fillId="5" borderId="1" xfId="0" applyFont="1" applyFill="1" applyBorder="1" applyAlignment="1">
      <alignment wrapText="1"/>
    </xf>
    <xf numFmtId="164" fontId="20" fillId="5" borderId="1" xfId="0" applyNumberFormat="1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169" fontId="20" fillId="5" borderId="1" xfId="0" applyNumberFormat="1" applyFont="1" applyFill="1" applyBorder="1" applyAlignment="1">
      <alignment wrapText="1"/>
    </xf>
    <xf numFmtId="0" fontId="20" fillId="5" borderId="1" xfId="0" applyFont="1" applyFill="1" applyBorder="1" applyAlignment="1">
      <alignment vertical="center" wrapText="1"/>
    </xf>
    <xf numFmtId="164" fontId="20" fillId="5" borderId="6" xfId="0" applyNumberFormat="1" applyFont="1" applyFill="1" applyBorder="1" applyAlignment="1">
      <alignment vertical="center" wrapText="1"/>
    </xf>
    <xf numFmtId="2" fontId="20" fillId="5" borderId="1" xfId="0" applyNumberFormat="1" applyFont="1" applyFill="1" applyBorder="1" applyAlignment="1">
      <alignment wrapText="1"/>
    </xf>
    <xf numFmtId="0" fontId="20" fillId="5" borderId="5" xfId="0" applyFont="1" applyFill="1" applyBorder="1" applyAlignment="1">
      <alignment vertical="center" wrapText="1"/>
    </xf>
    <xf numFmtId="164" fontId="37" fillId="5" borderId="1" xfId="0" applyNumberFormat="1" applyFont="1" applyFill="1" applyBorder="1" applyAlignment="1">
      <alignment wrapText="1"/>
    </xf>
    <xf numFmtId="164" fontId="25" fillId="5" borderId="1" xfId="0" applyNumberFormat="1" applyFont="1" applyFill="1" applyBorder="1" applyAlignment="1">
      <alignment wrapText="1"/>
    </xf>
    <xf numFmtId="0" fontId="0" fillId="3" borderId="0" xfId="0" applyFill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6" fillId="4" borderId="7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164" fontId="1" fillId="5" borderId="1" xfId="0" applyNumberFormat="1" applyFont="1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alignment horizontal="center" wrapText="1"/>
    </xf>
    <xf numFmtId="0" fontId="41" fillId="3" borderId="0" xfId="0" applyFont="1" applyFill="1" applyBorder="1" applyAlignment="1" applyProtection="1">
      <alignment horizontal="center" wrapText="1"/>
    </xf>
    <xf numFmtId="0" fontId="41" fillId="3" borderId="0" xfId="0" applyFont="1" applyFill="1" applyAlignment="1" applyProtection="1">
      <alignment horizontal="center" wrapText="1"/>
    </xf>
    <xf numFmtId="0" fontId="1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vertical="center" wrapText="1"/>
    </xf>
    <xf numFmtId="164" fontId="25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horizontal="center" vertical="center" wrapText="1"/>
    </xf>
    <xf numFmtId="164" fontId="2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5" fillId="6" borderId="1" xfId="0" applyFont="1" applyFill="1" applyBorder="1" applyAlignment="1" applyProtection="1">
      <alignment horizontal="center" vertical="center" wrapText="1"/>
    </xf>
    <xf numFmtId="164" fontId="25" fillId="5" borderId="1" xfId="0" applyNumberFormat="1" applyFont="1" applyFill="1" applyBorder="1" applyAlignment="1" applyProtection="1">
      <alignment horizontal="center" vertical="center" wrapText="1"/>
    </xf>
    <xf numFmtId="164" fontId="25" fillId="6" borderId="1" xfId="0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wrapText="1"/>
    </xf>
    <xf numFmtId="0" fontId="16" fillId="2" borderId="6" xfId="0" applyFont="1" applyFill="1" applyBorder="1" applyAlignment="1" applyProtection="1">
      <alignment wrapText="1"/>
    </xf>
    <xf numFmtId="166" fontId="0" fillId="6" borderId="9" xfId="0" applyNumberFormat="1" applyFill="1" applyBorder="1" applyAlignment="1" applyProtection="1">
      <alignment wrapText="1"/>
    </xf>
    <xf numFmtId="164" fontId="19" fillId="5" borderId="1" xfId="0" applyNumberFormat="1" applyFont="1" applyFill="1" applyBorder="1" applyAlignment="1" applyProtection="1">
      <alignment wrapText="1"/>
    </xf>
    <xf numFmtId="170" fontId="19" fillId="6" borderId="1" xfId="0" applyNumberFormat="1" applyFont="1" applyFill="1" applyBorder="1" applyAlignment="1" applyProtection="1">
      <alignment wrapText="1"/>
    </xf>
    <xf numFmtId="168" fontId="19" fillId="5" borderId="1" xfId="0" applyNumberFormat="1" applyFont="1" applyFill="1" applyBorder="1" applyAlignment="1" applyProtection="1">
      <alignment wrapText="1"/>
    </xf>
    <xf numFmtId="171" fontId="19" fillId="6" borderId="1" xfId="0" applyNumberFormat="1" applyFont="1" applyFill="1" applyBorder="1" applyAlignment="1" applyProtection="1">
      <alignment wrapText="1"/>
    </xf>
    <xf numFmtId="170" fontId="19" fillId="5" borderId="1" xfId="0" applyNumberFormat="1" applyFont="1" applyFill="1" applyBorder="1" applyAlignment="1" applyProtection="1">
      <alignment wrapText="1"/>
    </xf>
    <xf numFmtId="164" fontId="1" fillId="5" borderId="10" xfId="0" applyNumberFormat="1" applyFont="1" applyFill="1" applyBorder="1" applyAlignment="1" applyProtection="1">
      <alignment horizontal="center" vertical="center" wrapText="1"/>
    </xf>
    <xf numFmtId="164" fontId="19" fillId="3" borderId="0" xfId="0" applyNumberFormat="1" applyFont="1" applyFill="1" applyBorder="1" applyAlignment="1" applyProtection="1">
      <alignment wrapText="1"/>
    </xf>
    <xf numFmtId="168" fontId="19" fillId="3" borderId="0" xfId="0" applyNumberFormat="1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wrapText="1"/>
    </xf>
    <xf numFmtId="0" fontId="16" fillId="2" borderId="1" xfId="0" applyFont="1" applyFill="1" applyBorder="1" applyAlignment="1" applyProtection="1">
      <alignment wrapText="1"/>
    </xf>
    <xf numFmtId="166" fontId="0" fillId="6" borderId="1" xfId="0" applyNumberFormat="1" applyFill="1" applyBorder="1" applyAlignment="1" applyProtection="1">
      <alignment wrapText="1"/>
    </xf>
    <xf numFmtId="164" fontId="19" fillId="5" borderId="9" xfId="0" applyNumberFormat="1" applyFont="1" applyFill="1" applyBorder="1" applyAlignment="1" applyProtection="1">
      <alignment wrapText="1"/>
    </xf>
    <xf numFmtId="170" fontId="19" fillId="6" borderId="9" xfId="0" applyNumberFormat="1" applyFont="1" applyFill="1" applyBorder="1" applyAlignment="1" applyProtection="1">
      <alignment wrapText="1"/>
    </xf>
    <xf numFmtId="171" fontId="19" fillId="5" borderId="9" xfId="0" applyNumberFormat="1" applyFont="1" applyFill="1" applyBorder="1" applyAlignment="1" applyProtection="1">
      <alignment wrapText="1"/>
    </xf>
    <xf numFmtId="171" fontId="19" fillId="6" borderId="9" xfId="0" applyNumberFormat="1" applyFont="1" applyFill="1" applyBorder="1" applyAlignment="1" applyProtection="1">
      <alignment wrapText="1"/>
    </xf>
    <xf numFmtId="170" fontId="19" fillId="5" borderId="9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168" fontId="19" fillId="5" borderId="9" xfId="0" applyNumberFormat="1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166" fontId="0" fillId="6" borderId="11" xfId="0" applyNumberFormat="1" applyFill="1" applyBorder="1" applyAlignment="1" applyProtection="1">
      <alignment wrapText="1"/>
    </xf>
    <xf numFmtId="164" fontId="19" fillId="5" borderId="12" xfId="0" applyNumberFormat="1" applyFont="1" applyFill="1" applyBorder="1" applyAlignment="1" applyProtection="1">
      <alignment wrapText="1"/>
    </xf>
    <xf numFmtId="171" fontId="19" fillId="6" borderId="12" xfId="0" applyNumberFormat="1" applyFont="1" applyFill="1" applyBorder="1" applyAlignment="1" applyProtection="1">
      <alignment wrapText="1"/>
    </xf>
    <xf numFmtId="168" fontId="19" fillId="5" borderId="12" xfId="0" applyNumberFormat="1" applyFont="1" applyFill="1" applyBorder="1" applyAlignment="1" applyProtection="1">
      <alignment wrapText="1"/>
    </xf>
    <xf numFmtId="170" fontId="19" fillId="5" borderId="12" xfId="0" applyNumberFormat="1" applyFont="1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166" fontId="0" fillId="6" borderId="6" xfId="0" applyNumberFormat="1" applyFill="1" applyBorder="1" applyAlignment="1" applyProtection="1">
      <alignment wrapText="1"/>
    </xf>
    <xf numFmtId="170" fontId="19" fillId="6" borderId="12" xfId="0" applyNumberFormat="1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2" fillId="2" borderId="15" xfId="0" applyFont="1" applyFill="1" applyBorder="1" applyAlignment="1" applyProtection="1">
      <alignment wrapText="1"/>
    </xf>
    <xf numFmtId="167" fontId="19" fillId="6" borderId="12" xfId="0" applyNumberFormat="1" applyFont="1" applyFill="1" applyBorder="1" applyAlignment="1" applyProtection="1">
      <alignment wrapText="1"/>
    </xf>
    <xf numFmtId="0" fontId="0" fillId="2" borderId="6" xfId="0" applyFill="1" applyBorder="1" applyProtection="1"/>
    <xf numFmtId="0" fontId="0" fillId="0" borderId="0" xfId="0" applyAlignment="1" applyProtection="1">
      <alignment horizontal="center" wrapText="1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4" fontId="0" fillId="0" borderId="6" xfId="0" applyNumberForma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71" fontId="19" fillId="3" borderId="5" xfId="0" applyNumberFormat="1" applyFont="1" applyFill="1" applyBorder="1" applyAlignment="1" applyProtection="1">
      <alignment wrapText="1"/>
      <protection locked="0"/>
    </xf>
    <xf numFmtId="164" fontId="19" fillId="3" borderId="5" xfId="0" applyNumberFormat="1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19" fillId="3" borderId="16" xfId="0" applyNumberFormat="1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171" fontId="19" fillId="3" borderId="17" xfId="0" applyNumberFormat="1" applyFont="1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19" fillId="3" borderId="9" xfId="0" applyNumberFormat="1" applyFont="1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64" fontId="19" fillId="3" borderId="17" xfId="0" applyNumberFormat="1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2" fontId="0" fillId="5" borderId="1" xfId="0" applyNumberForma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</xf>
    <xf numFmtId="0" fontId="0" fillId="3" borderId="0" xfId="0" applyFill="1" applyBorder="1" applyProtection="1"/>
    <xf numFmtId="2" fontId="0" fillId="5" borderId="1" xfId="0" applyNumberFormat="1" applyFill="1" applyBorder="1" applyProtection="1"/>
    <xf numFmtId="0" fontId="0" fillId="0" borderId="0" xfId="0" applyAlignment="1" applyProtection="1">
      <alignment horizontal="center"/>
    </xf>
    <xf numFmtId="0" fontId="4" fillId="4" borderId="18" xfId="0" applyFont="1" applyFill="1" applyBorder="1" applyAlignment="1" applyProtection="1"/>
    <xf numFmtId="0" fontId="0" fillId="2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11" fontId="0" fillId="5" borderId="1" xfId="0" applyNumberFormat="1" applyFill="1" applyBorder="1" applyAlignment="1" applyProtection="1">
      <alignment horizontal="center"/>
    </xf>
    <xf numFmtId="11" fontId="0" fillId="5" borderId="1" xfId="0" applyNumberFormat="1" applyFill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11" fontId="0" fillId="5" borderId="1" xfId="0" applyNumberFormat="1" applyFill="1" applyBorder="1" applyAlignment="1" applyProtection="1">
      <alignment horizontal="center" vertical="center" wrapText="1"/>
    </xf>
    <xf numFmtId="11" fontId="0" fillId="5" borderId="1" xfId="0" applyNumberForma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</xf>
    <xf numFmtId="2" fontId="0" fillId="3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3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2" fontId="0" fillId="3" borderId="0" xfId="0" applyNumberForma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right" wrapText="1"/>
    </xf>
    <xf numFmtId="164" fontId="0" fillId="3" borderId="0" xfId="0" applyNumberFormat="1" applyFill="1" applyBorder="1" applyAlignment="1" applyProtection="1">
      <alignment horizontal="center" wrapText="1"/>
    </xf>
    <xf numFmtId="3" fontId="0" fillId="5" borderId="2" xfId="0" applyNumberFormat="1" applyFill="1" applyBorder="1" applyAlignment="1" applyProtection="1">
      <alignment horizontal="center" wrapText="1"/>
    </xf>
    <xf numFmtId="164" fontId="0" fillId="5" borderId="5" xfId="0" applyNumberFormat="1" applyFill="1" applyBorder="1" applyAlignment="1" applyProtection="1">
      <alignment horizontal="right" wrapText="1"/>
    </xf>
    <xf numFmtId="0" fontId="0" fillId="2" borderId="1" xfId="0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vertical="center" wrapText="1"/>
    </xf>
    <xf numFmtId="2" fontId="0" fillId="4" borderId="0" xfId="0" applyNumberFormat="1" applyFill="1" applyBorder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wrapText="1"/>
    </xf>
    <xf numFmtId="0" fontId="6" fillId="4" borderId="7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3" borderId="10" xfId="0" applyNumberFormat="1" applyFont="1" applyFill="1" applyBorder="1" applyAlignment="1" applyProtection="1">
      <alignment horizontal="center" vertical="center" wrapText="1"/>
    </xf>
    <xf numFmtId="2" fontId="5" fillId="5" borderId="10" xfId="0" applyNumberFormat="1" applyFont="1" applyFill="1" applyBorder="1" applyAlignment="1" applyProtection="1">
      <alignment horizontal="center" vertical="center" wrapText="1"/>
    </xf>
    <xf numFmtId="4" fontId="5" fillId="6" borderId="19" xfId="0" applyNumberFormat="1" applyFont="1" applyFill="1" applyBorder="1" applyAlignment="1" applyProtection="1">
      <alignment horizontal="center" vertical="center" wrapText="1"/>
    </xf>
    <xf numFmtId="4" fontId="5" fillId="5" borderId="19" xfId="0" applyNumberFormat="1" applyFont="1" applyFill="1" applyBorder="1" applyAlignment="1" applyProtection="1">
      <alignment horizontal="center" vertical="center" wrapText="1"/>
    </xf>
    <xf numFmtId="4" fontId="5" fillId="6" borderId="10" xfId="0" applyNumberFormat="1" applyFont="1" applyFill="1" applyBorder="1" applyAlignment="1" applyProtection="1">
      <alignment horizontal="center" vertical="center" wrapText="1"/>
    </xf>
    <xf numFmtId="4" fontId="5" fillId="5" borderId="10" xfId="0" applyNumberFormat="1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3" fontId="1" fillId="5" borderId="4" xfId="0" applyNumberFormat="1" applyFont="1" applyFill="1" applyBorder="1" applyAlignment="1" applyProtection="1">
      <alignment horizontal="center" vertical="center" wrapText="1"/>
    </xf>
    <xf numFmtId="4" fontId="1" fillId="6" borderId="4" xfId="0" applyNumberFormat="1" applyFont="1" applyFill="1" applyBorder="1" applyAlignment="1" applyProtection="1">
      <alignment horizontal="center" vertical="center" wrapText="1"/>
    </xf>
    <xf numFmtId="3" fontId="1" fillId="5" borderId="17" xfId="0" applyNumberFormat="1" applyFont="1" applyFill="1" applyBorder="1" applyAlignment="1" applyProtection="1">
      <alignment horizontal="center" vertical="center" wrapText="1"/>
    </xf>
    <xf numFmtId="167" fontId="1" fillId="6" borderId="4" xfId="0" applyNumberFormat="1" applyFont="1" applyFill="1" applyBorder="1" applyAlignment="1" applyProtection="1">
      <alignment horizontal="center" vertical="center" wrapText="1"/>
    </xf>
    <xf numFmtId="168" fontId="1" fillId="5" borderId="4" xfId="0" applyNumberFormat="1" applyFont="1" applyFill="1" applyBorder="1" applyAlignment="1" applyProtection="1">
      <alignment horizontal="center" vertical="center" wrapText="1"/>
    </xf>
    <xf numFmtId="170" fontId="1" fillId="6" borderId="4" xfId="0" applyNumberFormat="1" applyFont="1" applyFill="1" applyBorder="1" applyAlignment="1" applyProtection="1">
      <alignment horizontal="center" vertical="center" wrapText="1"/>
    </xf>
    <xf numFmtId="170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3" fontId="1" fillId="5" borderId="5" xfId="0" applyNumberFormat="1" applyFont="1" applyFill="1" applyBorder="1" applyAlignment="1" applyProtection="1">
      <alignment horizontal="center" vertical="center" wrapText="1"/>
    </xf>
    <xf numFmtId="167" fontId="1" fillId="6" borderId="1" xfId="0" applyNumberFormat="1" applyFont="1" applyFill="1" applyBorder="1" applyAlignment="1" applyProtection="1">
      <alignment horizontal="center" vertical="center" wrapText="1"/>
    </xf>
    <xf numFmtId="168" fontId="1" fillId="5" borderId="1" xfId="0" applyNumberFormat="1" applyFont="1" applyFill="1" applyBorder="1" applyAlignment="1" applyProtection="1">
      <alignment horizontal="center" vertical="center" wrapText="1"/>
    </xf>
    <xf numFmtId="170" fontId="1" fillId="6" borderId="1" xfId="0" applyNumberFormat="1" applyFont="1" applyFill="1" applyBorder="1" applyAlignment="1" applyProtection="1">
      <alignment horizontal="center" vertical="center" wrapText="1"/>
    </xf>
    <xf numFmtId="170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6" borderId="9" xfId="0" applyNumberFormat="1" applyFont="1" applyFill="1" applyBorder="1" applyAlignment="1" applyProtection="1">
      <alignment horizontal="center" vertical="center" wrapText="1"/>
    </xf>
    <xf numFmtId="4" fontId="1" fillId="6" borderId="5" xfId="0" applyNumberFormat="1" applyFont="1" applyFill="1" applyBorder="1" applyAlignment="1" applyProtection="1">
      <alignment horizontal="center" vertical="center" wrapText="1"/>
    </xf>
    <xf numFmtId="167" fontId="1" fillId="6" borderId="6" xfId="0" applyNumberFormat="1" applyFont="1" applyFill="1" applyBorder="1" applyAlignment="1" applyProtection="1">
      <alignment horizontal="center" vertical="center" wrapText="1"/>
    </xf>
    <xf numFmtId="170" fontId="1" fillId="6" borderId="6" xfId="0" applyNumberFormat="1" applyFont="1" applyFill="1" applyBorder="1" applyAlignment="1" applyProtection="1">
      <alignment horizontal="center" vertical="center" wrapText="1"/>
    </xf>
    <xf numFmtId="168" fontId="1" fillId="6" borderId="5" xfId="0" applyNumberFormat="1" applyFont="1" applyFill="1" applyBorder="1" applyAlignment="1" applyProtection="1">
      <alignment horizontal="center" vertical="center" wrapText="1"/>
    </xf>
    <xf numFmtId="4" fontId="47" fillId="0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" fontId="47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167" fontId="1" fillId="0" borderId="0" xfId="0" applyNumberFormat="1" applyFont="1" applyFill="1" applyBorder="1" applyAlignment="1" applyProtection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2" fontId="0" fillId="0" borderId="0" xfId="0" applyNumberFormat="1" applyFill="1" applyAlignment="1" applyProtection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vertical="center" wrapText="1"/>
    </xf>
    <xf numFmtId="0" fontId="13" fillId="3" borderId="0" xfId="0" applyFont="1" applyFill="1" applyAlignment="1" applyProtection="1">
      <alignment vertical="center" wrapText="1"/>
    </xf>
    <xf numFmtId="0" fontId="44" fillId="2" borderId="1" xfId="0" applyFont="1" applyFill="1" applyBorder="1" applyAlignment="1" applyProtection="1">
      <alignment horizontal="center" vertical="center" wrapText="1"/>
    </xf>
    <xf numFmtId="0" fontId="45" fillId="2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169" fontId="0" fillId="5" borderId="1" xfId="0" applyNumberFormat="1" applyFill="1" applyBorder="1" applyAlignment="1" applyProtection="1">
      <alignment horizontal="center" vertical="center" wrapText="1"/>
    </xf>
    <xf numFmtId="169" fontId="0" fillId="3" borderId="0" xfId="0" applyNumberFormat="1" applyFill="1" applyBorder="1" applyAlignment="1" applyProtection="1">
      <alignment vertical="center" wrapText="1"/>
    </xf>
    <xf numFmtId="0" fontId="0" fillId="4" borderId="0" xfId="0" applyFill="1" applyProtection="1"/>
    <xf numFmtId="0" fontId="4" fillId="4" borderId="0" xfId="0" applyFont="1" applyFill="1" applyProtection="1"/>
    <xf numFmtId="0" fontId="12" fillId="2" borderId="1" xfId="0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 wrapText="1"/>
    </xf>
    <xf numFmtId="3" fontId="0" fillId="5" borderId="1" xfId="0" applyNumberForma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169" fontId="0" fillId="5" borderId="1" xfId="0" applyNumberFormat="1" applyFill="1" applyBorder="1" applyAlignment="1" applyProtection="1">
      <alignment wrapText="1"/>
    </xf>
    <xf numFmtId="0" fontId="0" fillId="6" borderId="1" xfId="0" applyFill="1" applyBorder="1" applyAlignment="1" applyProtection="1">
      <alignment horizontal="center" wrapText="1"/>
    </xf>
    <xf numFmtId="169" fontId="0" fillId="5" borderId="1" xfId="0" applyNumberForma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43" fillId="2" borderId="1" xfId="0" applyFont="1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42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46" fillId="4" borderId="0" xfId="0" applyFont="1" applyFill="1" applyAlignment="1" applyProtection="1">
      <alignment vertical="center" wrapText="1"/>
    </xf>
    <xf numFmtId="0" fontId="46" fillId="4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 applyProtection="1">
      <alignment horizontal="center" vertical="center" wrapText="1"/>
    </xf>
    <xf numFmtId="0" fontId="49" fillId="2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7" borderId="0" xfId="0" applyFont="1" applyFill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</xf>
    <xf numFmtId="4" fontId="15" fillId="2" borderId="6" xfId="0" applyNumberFormat="1" applyFont="1" applyFill="1" applyBorder="1" applyAlignment="1" applyProtection="1">
      <alignment horizontal="center" vertical="center" wrapText="1"/>
    </xf>
    <xf numFmtId="4" fontId="17" fillId="2" borderId="6" xfId="0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vertical="center" wrapText="1"/>
    </xf>
    <xf numFmtId="0" fontId="17" fillId="7" borderId="0" xfId="0" applyFont="1" applyFill="1" applyAlignment="1" applyProtection="1">
      <alignment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right" vertical="center" wrapText="1"/>
    </xf>
    <xf numFmtId="0" fontId="31" fillId="3" borderId="0" xfId="0" applyFont="1" applyFill="1" applyBorder="1" applyAlignment="1" applyProtection="1">
      <alignment horizontal="right" vertical="center" wrapText="1"/>
    </xf>
    <xf numFmtId="168" fontId="31" fillId="3" borderId="0" xfId="0" applyNumberFormat="1" applyFont="1" applyFill="1" applyBorder="1" applyAlignment="1" applyProtection="1">
      <alignment horizontal="center" vertical="center" wrapText="1"/>
    </xf>
    <xf numFmtId="3" fontId="31" fillId="3" borderId="0" xfId="0" applyNumberFormat="1" applyFont="1" applyFill="1" applyBorder="1" applyAlignment="1" applyProtection="1">
      <alignment vertical="center" wrapText="1"/>
    </xf>
    <xf numFmtId="0" fontId="31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0" fillId="0" borderId="0" xfId="0" applyNumberFormat="1" applyFill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1" fillId="0" borderId="0" xfId="0" applyFont="1" applyProtection="1"/>
    <xf numFmtId="0" fontId="16" fillId="0" borderId="0" xfId="0" applyFont="1" applyProtection="1"/>
    <xf numFmtId="0" fontId="1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/>
    </xf>
    <xf numFmtId="169" fontId="16" fillId="5" borderId="1" xfId="0" applyNumberFormat="1" applyFont="1" applyFill="1" applyBorder="1" applyProtection="1"/>
    <xf numFmtId="0" fontId="0" fillId="2" borderId="1" xfId="0" applyFill="1" applyBorder="1" applyAlignment="1" applyProtection="1">
      <alignment horizontal="right"/>
    </xf>
    <xf numFmtId="0" fontId="41" fillId="4" borderId="0" xfId="0" applyFont="1" applyFill="1" applyProtection="1"/>
    <xf numFmtId="0" fontId="40" fillId="4" borderId="0" xfId="0" applyFont="1" applyFill="1" applyBorder="1" applyProtection="1"/>
    <xf numFmtId="0" fontId="41" fillId="4" borderId="0" xfId="0" applyFont="1" applyFill="1" applyBorder="1" applyAlignment="1" applyProtection="1">
      <alignment horizontal="center"/>
    </xf>
    <xf numFmtId="0" fontId="41" fillId="0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26" fillId="2" borderId="1" xfId="0" applyFont="1" applyFill="1" applyBorder="1" applyAlignment="1" applyProtection="1">
      <alignment horizontal="center"/>
    </xf>
    <xf numFmtId="2" fontId="26" fillId="2" borderId="5" xfId="0" applyNumberFormat="1" applyFont="1" applyFill="1" applyBorder="1" applyAlignment="1" applyProtection="1">
      <alignment horizontal="center" wrapText="1"/>
    </xf>
    <xf numFmtId="2" fontId="26" fillId="2" borderId="1" xfId="0" applyNumberFormat="1" applyFont="1" applyFill="1" applyBorder="1" applyAlignment="1" applyProtection="1">
      <alignment horizontal="center" wrapText="1"/>
    </xf>
    <xf numFmtId="2" fontId="14" fillId="6" borderId="10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14" fillId="6" borderId="6" xfId="0" applyFont="1" applyFill="1" applyBorder="1" applyAlignment="1" applyProtection="1">
      <alignment horizontal="center" wrapText="1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2" fontId="0" fillId="0" borderId="1" xfId="0" applyNumberFormat="1" applyFill="1" applyBorder="1" applyAlignment="1" applyProtection="1">
      <alignment wrapText="1"/>
    </xf>
    <xf numFmtId="165" fontId="1" fillId="6" borderId="1" xfId="0" applyNumberFormat="1" applyFont="1" applyFill="1" applyBorder="1" applyAlignment="1" applyProtection="1">
      <alignment horizontal="center" wrapText="1"/>
    </xf>
    <xf numFmtId="2" fontId="1" fillId="6" borderId="1" xfId="0" applyNumberFormat="1" applyFont="1" applyFill="1" applyBorder="1" applyAlignment="1" applyProtection="1">
      <alignment horizontal="center" wrapText="1"/>
    </xf>
    <xf numFmtId="2" fontId="0" fillId="6" borderId="1" xfId="0" applyNumberFormat="1" applyFill="1" applyBorder="1" applyAlignment="1" applyProtection="1">
      <alignment horizontal="center" wrapText="1"/>
    </xf>
    <xf numFmtId="169" fontId="0" fillId="5" borderId="1" xfId="0" applyNumberFormat="1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  <xf numFmtId="169" fontId="14" fillId="2" borderId="21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0" fillId="5" borderId="1" xfId="0" applyNumberFormat="1" applyFill="1" applyBorder="1" applyAlignment="1" applyProtection="1">
      <alignment horizontal="center"/>
    </xf>
    <xf numFmtId="2" fontId="1" fillId="6" borderId="10" xfId="0" applyNumberFormat="1" applyFont="1" applyFill="1" applyBorder="1" applyAlignment="1" applyProtection="1">
      <alignment horizontal="center" wrapText="1"/>
    </xf>
    <xf numFmtId="165" fontId="1" fillId="6" borderId="10" xfId="0" applyNumberFormat="1" applyFont="1" applyFill="1" applyBorder="1" applyAlignment="1" applyProtection="1">
      <alignment horizontal="center" wrapText="1"/>
    </xf>
    <xf numFmtId="2" fontId="0" fillId="6" borderId="10" xfId="0" applyNumberFormat="1" applyFill="1" applyBorder="1" applyAlignment="1" applyProtection="1">
      <alignment horizontal="center" wrapText="1"/>
    </xf>
    <xf numFmtId="0" fontId="0" fillId="5" borderId="10" xfId="0" applyNumberFormat="1" applyFill="1" applyBorder="1" applyAlignment="1" applyProtection="1">
      <alignment horizontal="center"/>
    </xf>
    <xf numFmtId="169" fontId="14" fillId="2" borderId="1" xfId="0" applyNumberFormat="1" applyFon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2" fontId="0" fillId="0" borderId="22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Alignment="1" applyProtection="1">
      <alignment horizontal="center" wrapText="1"/>
      <protection locked="0"/>
    </xf>
    <xf numFmtId="2" fontId="0" fillId="3" borderId="10" xfId="0" applyNumberFormat="1" applyFill="1" applyBorder="1" applyAlignment="1" applyProtection="1">
      <alignment wrapText="1"/>
      <protection locked="0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/>
    <xf numFmtId="0" fontId="0" fillId="6" borderId="6" xfId="0" applyFill="1" applyBorder="1"/>
    <xf numFmtId="4" fontId="0" fillId="6" borderId="1" xfId="0" applyNumberFormat="1" applyFill="1" applyBorder="1"/>
    <xf numFmtId="2" fontId="0" fillId="6" borderId="1" xfId="0" applyNumberFormat="1" applyFill="1" applyBorder="1"/>
    <xf numFmtId="4" fontId="0" fillId="6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6" borderId="1" xfId="0" applyNumberFormat="1" applyFill="1" applyBorder="1"/>
    <xf numFmtId="164" fontId="1" fillId="5" borderId="23" xfId="0" applyNumberFormat="1" applyFont="1" applyFill="1" applyBorder="1" applyAlignment="1" applyProtection="1">
      <alignment horizontal="center" vertical="center" wrapText="1"/>
    </xf>
    <xf numFmtId="164" fontId="1" fillId="5" borderId="6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wrapText="1"/>
    </xf>
    <xf numFmtId="4" fontId="15" fillId="6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vertical="center" wrapText="1"/>
      <protection locked="0"/>
    </xf>
    <xf numFmtId="2" fontId="15" fillId="3" borderId="2" xfId="0" applyNumberFormat="1" applyFont="1" applyFill="1" applyBorder="1" applyAlignment="1" applyProtection="1">
      <alignment vertical="center" wrapText="1"/>
      <protection locked="0"/>
    </xf>
    <xf numFmtId="1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1" fontId="15" fillId="3" borderId="1" xfId="0" applyNumberFormat="1" applyFont="1" applyFill="1" applyBorder="1" applyAlignment="1" applyProtection="1">
      <alignment vertical="center" wrapText="1"/>
      <protection locked="0"/>
    </xf>
    <xf numFmtId="165" fontId="0" fillId="5" borderId="1" xfId="0" applyNumberFormat="1" applyFill="1" applyBorder="1" applyAlignment="1" applyProtection="1">
      <alignment horizontal="center" wrapText="1"/>
    </xf>
    <xf numFmtId="165" fontId="0" fillId="5" borderId="10" xfId="0" applyNumberFormat="1" applyFill="1" applyBorder="1" applyAlignment="1" applyProtection="1">
      <alignment horizontal="center" wrapText="1"/>
    </xf>
    <xf numFmtId="3" fontId="15" fillId="5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/>
    <xf numFmtId="0" fontId="14" fillId="3" borderId="0" xfId="0" applyFont="1" applyFill="1"/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42" fillId="3" borderId="0" xfId="0" applyFont="1" applyFill="1" applyAlignment="1">
      <alignment wrapText="1"/>
    </xf>
    <xf numFmtId="169" fontId="14" fillId="2" borderId="1" xfId="0" applyNumberFormat="1" applyFont="1" applyFill="1" applyBorder="1" applyAlignment="1">
      <alignment wrapText="1"/>
    </xf>
    <xf numFmtId="2" fontId="14" fillId="2" borderId="1" xfId="0" applyNumberFormat="1" applyFont="1" applyFill="1" applyBorder="1" applyAlignment="1">
      <alignment wrapText="1"/>
    </xf>
    <xf numFmtId="169" fontId="0" fillId="3" borderId="0" xfId="0" applyNumberFormat="1" applyFill="1" applyBorder="1" applyAlignment="1">
      <alignment horizontal="center"/>
    </xf>
    <xf numFmtId="2" fontId="1" fillId="2" borderId="10" xfId="0" applyNumberFormat="1" applyFont="1" applyFill="1" applyBorder="1" applyAlignment="1" applyProtection="1">
      <alignment horizontal="center" vertical="top" wrapText="1"/>
    </xf>
    <xf numFmtId="4" fontId="1" fillId="2" borderId="19" xfId="0" applyNumberFormat="1" applyFont="1" applyFill="1" applyBorder="1" applyAlignment="1" applyProtection="1">
      <alignment horizontal="center" vertical="top" wrapText="1"/>
    </xf>
    <xf numFmtId="4" fontId="1" fillId="2" borderId="1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horizontal="center" vertical="top" textRotation="180" wrapText="1"/>
    </xf>
    <xf numFmtId="0" fontId="14" fillId="2" borderId="1" xfId="0" applyFont="1" applyFill="1" applyBorder="1" applyAlignment="1" applyProtection="1">
      <alignment vertical="top" textRotation="180" wrapText="1"/>
    </xf>
    <xf numFmtId="4" fontId="29" fillId="2" borderId="1" xfId="0" applyNumberFormat="1" applyFont="1" applyFill="1" applyBorder="1" applyAlignment="1" applyProtection="1">
      <alignment horizontal="center" vertical="top" textRotation="180" wrapText="1"/>
    </xf>
    <xf numFmtId="1" fontId="29" fillId="2" borderId="1" xfId="0" applyNumberFormat="1" applyFont="1" applyFill="1" applyBorder="1" applyAlignment="1" applyProtection="1">
      <alignment horizontal="center" vertical="top" textRotation="180" wrapText="1"/>
    </xf>
    <xf numFmtId="9" fontId="29" fillId="2" borderId="1" xfId="2" applyFont="1" applyFill="1" applyBorder="1" applyAlignment="1" applyProtection="1">
      <alignment horizontal="center" vertical="top" textRotation="180" wrapText="1"/>
    </xf>
    <xf numFmtId="3" fontId="29" fillId="2" borderId="5" xfId="0" applyNumberFormat="1" applyFont="1" applyFill="1" applyBorder="1" applyAlignment="1" applyProtection="1">
      <alignment horizontal="center" vertical="top" textRotation="180" wrapText="1"/>
    </xf>
    <xf numFmtId="4" fontId="16" fillId="5" borderId="1" xfId="0" applyNumberFormat="1" applyFont="1" applyFill="1" applyBorder="1" applyAlignment="1" applyProtection="1">
      <alignment horizontal="center" vertical="top" wrapText="1"/>
    </xf>
    <xf numFmtId="3" fontId="16" fillId="5" borderId="5" xfId="0" applyNumberFormat="1" applyFont="1" applyFill="1" applyBorder="1" applyAlignment="1" applyProtection="1">
      <alignment horizontal="center" vertical="top" wrapText="1"/>
    </xf>
    <xf numFmtId="0" fontId="15" fillId="5" borderId="1" xfId="0" applyFont="1" applyFill="1" applyBorder="1" applyAlignment="1" applyProtection="1">
      <alignment horizontal="center" vertical="top" wrapText="1"/>
    </xf>
    <xf numFmtId="1" fontId="16" fillId="6" borderId="1" xfId="0" applyNumberFormat="1" applyFont="1" applyFill="1" applyBorder="1" applyAlignment="1" applyProtection="1">
      <alignment horizontal="center" vertical="top" wrapText="1"/>
    </xf>
    <xf numFmtId="9" fontId="16" fillId="6" borderId="1" xfId="2" applyFont="1" applyFill="1" applyBorder="1" applyAlignment="1" applyProtection="1">
      <alignment horizontal="center" vertical="top" wrapText="1"/>
    </xf>
    <xf numFmtId="0" fontId="15" fillId="6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/>
    <xf numFmtId="0" fontId="14" fillId="8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3" borderId="0" xfId="0" applyFill="1" applyAlignment="1" applyProtection="1">
      <alignment horizontal="center" wrapText="1"/>
    </xf>
    <xf numFmtId="2" fontId="5" fillId="6" borderId="10" xfId="0" applyNumberFormat="1" applyFont="1" applyFill="1" applyBorder="1" applyAlignment="1" applyProtection="1">
      <alignment horizontal="center" vertical="center" wrapText="1"/>
    </xf>
    <xf numFmtId="3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wrapText="1"/>
    </xf>
    <xf numFmtId="0" fontId="9" fillId="4" borderId="0" xfId="0" applyFont="1" applyFill="1" applyBorder="1" applyAlignment="1" applyProtection="1">
      <alignment horizontal="center" wrapText="1"/>
    </xf>
    <xf numFmtId="2" fontId="0" fillId="4" borderId="0" xfId="0" applyNumberFormat="1" applyFont="1" applyFill="1" applyBorder="1" applyAlignment="1" applyProtection="1">
      <alignment wrapText="1"/>
    </xf>
    <xf numFmtId="0" fontId="8" fillId="4" borderId="0" xfId="0" applyFont="1" applyFill="1" applyBorder="1" applyAlignment="1" applyProtection="1">
      <alignment horizontal="center" wrapText="1"/>
    </xf>
    <xf numFmtId="171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168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Alignment="1" applyProtection="1">
      <alignment horizontal="center"/>
    </xf>
    <xf numFmtId="0" fontId="11" fillId="3" borderId="0" xfId="0" applyFont="1" applyFill="1"/>
    <xf numFmtId="0" fontId="50" fillId="3" borderId="1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51" fillId="3" borderId="0" xfId="0" applyFont="1" applyFill="1" applyAlignment="1" applyProtection="1">
      <alignment vertical="center" wrapText="1"/>
    </xf>
    <xf numFmtId="0" fontId="52" fillId="3" borderId="0" xfId="0" applyFont="1" applyFill="1" applyAlignment="1" applyProtection="1">
      <alignment vertical="center" wrapText="1"/>
    </xf>
    <xf numFmtId="0" fontId="0" fillId="0" borderId="0" xfId="0" applyFill="1"/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0" fillId="10" borderId="1" xfId="0" applyFill="1" applyBorder="1"/>
    <xf numFmtId="0" fontId="0" fillId="10" borderId="0" xfId="0" applyFill="1"/>
    <xf numFmtId="1" fontId="0" fillId="10" borderId="1" xfId="0" applyNumberFormat="1" applyFill="1" applyBorder="1"/>
    <xf numFmtId="2" fontId="0" fillId="10" borderId="1" xfId="0" applyNumberFormat="1" applyFill="1" applyBorder="1" applyAlignment="1" applyProtection="1">
      <alignment horizontal="right"/>
    </xf>
    <xf numFmtId="2" fontId="53" fillId="6" borderId="1" xfId="0" applyNumberFormat="1" applyFont="1" applyFill="1" applyBorder="1" applyAlignment="1" applyProtection="1">
      <alignment horizontal="right"/>
    </xf>
    <xf numFmtId="0" fontId="53" fillId="6" borderId="1" xfId="0" applyFont="1" applyFill="1" applyBorder="1" applyAlignment="1" applyProtection="1">
      <alignment horizontal="center" wrapText="1"/>
    </xf>
    <xf numFmtId="0" fontId="54" fillId="6" borderId="1" xfId="0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>
      <alignment horizontal="right"/>
    </xf>
    <xf numFmtId="3" fontId="53" fillId="6" borderId="1" xfId="0" applyNumberFormat="1" applyFont="1" applyFill="1" applyBorder="1" applyAlignment="1">
      <alignment horizontal="right"/>
    </xf>
    <xf numFmtId="0" fontId="53" fillId="6" borderId="1" xfId="0" applyFont="1" applyFill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0" fontId="53" fillId="6" borderId="1" xfId="0" applyFont="1" applyFill="1" applyBorder="1"/>
    <xf numFmtId="3" fontId="53" fillId="6" borderId="1" xfId="0" applyNumberFormat="1" applyFont="1" applyFill="1" applyBorder="1"/>
    <xf numFmtId="0" fontId="15" fillId="3" borderId="0" xfId="0" applyFont="1" applyFill="1"/>
    <xf numFmtId="3" fontId="0" fillId="10" borderId="1" xfId="0" applyNumberFormat="1" applyFill="1" applyBorder="1"/>
    <xf numFmtId="164" fontId="53" fillId="6" borderId="1" xfId="0" applyNumberFormat="1" applyFont="1" applyFill="1" applyBorder="1"/>
    <xf numFmtId="0" fontId="53" fillId="3" borderId="0" xfId="0" applyFont="1" applyFill="1"/>
    <xf numFmtId="0" fontId="15" fillId="10" borderId="1" xfId="0" applyFont="1" applyFill="1" applyBorder="1" applyAlignment="1">
      <alignment horizontal="center"/>
    </xf>
    <xf numFmtId="164" fontId="0" fillId="10" borderId="1" xfId="0" applyNumberFormat="1" applyFill="1" applyBorder="1"/>
    <xf numFmtId="3" fontId="15" fillId="10" borderId="1" xfId="0" applyNumberFormat="1" applyFont="1" applyFill="1" applyBorder="1"/>
    <xf numFmtId="3" fontId="53" fillId="10" borderId="1" xfId="0" applyNumberFormat="1" applyFont="1" applyFill="1" applyBorder="1"/>
    <xf numFmtId="0" fontId="53" fillId="6" borderId="1" xfId="0" applyFont="1" applyFill="1" applyBorder="1" applyAlignment="1" applyProtection="1">
      <alignment horizontal="center"/>
    </xf>
    <xf numFmtId="0" fontId="15" fillId="10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55" fillId="10" borderId="1" xfId="0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53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169" fontId="0" fillId="10" borderId="1" xfId="0" applyNumberFormat="1" applyFill="1" applyBorder="1" applyAlignment="1">
      <alignment horizontal="center"/>
    </xf>
    <xf numFmtId="169" fontId="53" fillId="6" borderId="1" xfId="0" applyNumberFormat="1" applyFont="1" applyFill="1" applyBorder="1" applyAlignment="1">
      <alignment horizontal="center"/>
    </xf>
    <xf numFmtId="169" fontId="0" fillId="10" borderId="1" xfId="0" applyNumberFormat="1" applyFill="1" applyBorder="1" applyAlignment="1">
      <alignment horizontal="center" vertical="center" wrapText="1"/>
    </xf>
    <xf numFmtId="169" fontId="53" fillId="6" borderId="1" xfId="0" applyNumberFormat="1" applyFont="1" applyFill="1" applyBorder="1" applyAlignment="1">
      <alignment horizontal="center" vertical="center" wrapText="1"/>
    </xf>
    <xf numFmtId="169" fontId="0" fillId="10" borderId="6" xfId="0" applyNumberFormat="1" applyFill="1" applyBorder="1" applyAlignment="1">
      <alignment horizontal="center"/>
    </xf>
    <xf numFmtId="2" fontId="0" fillId="10" borderId="6" xfId="0" applyNumberFormat="1" applyFill="1" applyBorder="1" applyAlignment="1">
      <alignment horizontal="center"/>
    </xf>
    <xf numFmtId="0" fontId="56" fillId="0" borderId="0" xfId="0" applyFont="1"/>
    <xf numFmtId="0" fontId="11" fillId="0" borderId="0" xfId="0" applyFont="1"/>
    <xf numFmtId="49" fontId="11" fillId="0" borderId="0" xfId="0" applyNumberFormat="1" applyFont="1" applyProtection="1"/>
    <xf numFmtId="0" fontId="15" fillId="3" borderId="0" xfId="0" applyFont="1" applyFill="1" applyProtection="1"/>
    <xf numFmtId="0" fontId="19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4" fontId="15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50" fillId="3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1" fillId="3" borderId="18" xfId="0" applyFont="1" applyFill="1" applyBorder="1" applyAlignment="1">
      <alignment wrapText="1"/>
    </xf>
    <xf numFmtId="0" fontId="50" fillId="3" borderId="18" xfId="0" applyFont="1" applyFill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vertical="center" textRotation="90" wrapText="1"/>
    </xf>
    <xf numFmtId="0" fontId="50" fillId="3" borderId="0" xfId="0" applyFont="1" applyFill="1" applyAlignment="1">
      <alignment horizontal="left" vertical="center" wrapText="1"/>
    </xf>
    <xf numFmtId="0" fontId="50" fillId="3" borderId="18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25" fillId="5" borderId="5" xfId="0" applyFont="1" applyFill="1" applyBorder="1" applyAlignment="1">
      <alignment horizontal="right" wrapText="1"/>
    </xf>
    <xf numFmtId="0" fontId="25" fillId="5" borderId="7" xfId="0" applyFont="1" applyFill="1" applyBorder="1" applyAlignment="1">
      <alignment horizontal="right" wrapText="1"/>
    </xf>
    <xf numFmtId="0" fontId="25" fillId="5" borderId="2" xfId="0" applyFont="1" applyFill="1" applyBorder="1" applyAlignment="1">
      <alignment horizontal="right" wrapText="1"/>
    </xf>
    <xf numFmtId="0" fontId="20" fillId="5" borderId="19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20" fillId="5" borderId="10" xfId="0" applyFont="1" applyFill="1" applyBorder="1" applyAlignment="1">
      <alignment vertical="center" wrapText="1"/>
    </xf>
    <xf numFmtId="0" fontId="20" fillId="5" borderId="24" xfId="0" applyFont="1" applyFill="1" applyBorder="1" applyAlignment="1">
      <alignment vertical="center" wrapText="1"/>
    </xf>
    <xf numFmtId="0" fontId="0" fillId="5" borderId="24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4" fontId="20" fillId="5" borderId="10" xfId="0" applyNumberFormat="1" applyFont="1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164" fontId="20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7" fillId="5" borderId="5" xfId="0" applyFont="1" applyFill="1" applyBorder="1" applyAlignment="1">
      <alignment horizontal="right" wrapText="1"/>
    </xf>
    <xf numFmtId="0" fontId="37" fillId="5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3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textRotation="180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wrapText="1"/>
    </xf>
    <xf numFmtId="0" fontId="20" fillId="5" borderId="24" xfId="0" applyFont="1" applyFill="1" applyBorder="1" applyAlignment="1">
      <alignment wrapText="1"/>
    </xf>
    <xf numFmtId="0" fontId="19" fillId="5" borderId="10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wrapText="1"/>
    </xf>
    <xf numFmtId="0" fontId="12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11" fillId="3" borderId="0" xfId="0" applyFont="1" applyFill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2" fillId="3" borderId="0" xfId="0" applyFont="1" applyFill="1" applyAlignment="1" applyProtection="1">
      <alignment vertical="center" wrapText="1"/>
    </xf>
    <xf numFmtId="0" fontId="1" fillId="3" borderId="18" xfId="0" applyFont="1" applyFill="1" applyBorder="1" applyAlignment="1" applyProtection="1">
      <alignment wrapText="1"/>
    </xf>
    <xf numFmtId="0" fontId="39" fillId="4" borderId="5" xfId="0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6" fillId="4" borderId="5" xfId="0" applyFont="1" applyFill="1" applyBorder="1" applyAlignment="1" applyProtection="1">
      <alignment horizontal="center" wrapText="1"/>
    </xf>
    <xf numFmtId="0" fontId="6" fillId="4" borderId="7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164" fontId="1" fillId="5" borderId="24" xfId="0" applyNumberFormat="1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4" fillId="3" borderId="10" xfId="0" applyFont="1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0" fillId="5" borderId="28" xfId="0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 wrapText="1"/>
    </xf>
    <xf numFmtId="0" fontId="0" fillId="5" borderId="30" xfId="0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wrapText="1"/>
    </xf>
    <xf numFmtId="0" fontId="14" fillId="2" borderId="10" xfId="0" applyFont="1" applyFill="1" applyBorder="1" applyAlignment="1" applyProtection="1">
      <alignment vertical="center" wrapText="1"/>
    </xf>
    <xf numFmtId="0" fontId="14" fillId="2" borderId="6" xfId="0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164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wrapText="1"/>
    </xf>
    <xf numFmtId="0" fontId="4" fillId="4" borderId="25" xfId="0" applyFont="1" applyFill="1" applyBorder="1" applyAlignment="1" applyProtection="1">
      <alignment wrapText="1"/>
    </xf>
    <xf numFmtId="164" fontId="0" fillId="5" borderId="26" xfId="0" applyNumberForma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4" fillId="4" borderId="29" xfId="0" applyFont="1" applyFill="1" applyBorder="1" applyAlignment="1" applyProtection="1">
      <alignment horizontal="left" vertical="center" wrapText="1"/>
    </xf>
    <xf numFmtId="0" fontId="0" fillId="0" borderId="29" xfId="0" applyBorder="1" applyAlignment="1" applyProtection="1">
      <alignment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4" borderId="18" xfId="0" applyFont="1" applyFill="1" applyBorder="1" applyAlignment="1" applyProtection="1"/>
    <xf numFmtId="0" fontId="4" fillId="4" borderId="18" xfId="0" applyFont="1" applyFill="1" applyBorder="1" applyAlignment="1" applyProtection="1">
      <alignment horizontal="center"/>
    </xf>
    <xf numFmtId="0" fontId="50" fillId="3" borderId="0" xfId="0" applyFont="1" applyFill="1" applyAlignment="1" applyProtection="1">
      <alignment horizontal="center" vertical="center" wrapText="1"/>
    </xf>
    <xf numFmtId="0" fontId="50" fillId="3" borderId="18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 wrapText="1"/>
    </xf>
    <xf numFmtId="0" fontId="0" fillId="3" borderId="0" xfId="0" applyFill="1" applyAlignment="1" applyProtection="1"/>
    <xf numFmtId="0" fontId="1" fillId="5" borderId="23" xfId="0" applyFont="1" applyFill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wrapText="1"/>
    </xf>
    <xf numFmtId="0" fontId="0" fillId="5" borderId="14" xfId="0" applyFill="1" applyBorder="1" applyAlignment="1" applyProtection="1">
      <alignment wrapText="1"/>
    </xf>
    <xf numFmtId="0" fontId="4" fillId="4" borderId="18" xfId="0" applyFont="1" applyFill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8" fillId="0" borderId="5" xfId="0" applyFont="1" applyFill="1" applyBorder="1" applyAlignment="1" applyProtection="1">
      <alignment horizontal="right" wrapText="1"/>
    </xf>
    <xf numFmtId="0" fontId="48" fillId="0" borderId="7" xfId="0" applyFont="1" applyFill="1" applyBorder="1" applyAlignment="1" applyProtection="1">
      <alignment horizontal="right" wrapText="1"/>
    </xf>
    <xf numFmtId="0" fontId="48" fillId="0" borderId="2" xfId="0" applyFont="1" applyFill="1" applyBorder="1" applyAlignment="1" applyProtection="1">
      <alignment horizontal="right" wrapText="1"/>
    </xf>
    <xf numFmtId="0" fontId="4" fillId="4" borderId="18" xfId="0" applyFont="1" applyFill="1" applyBorder="1" applyAlignment="1" applyProtection="1">
      <alignment horizontal="center" wrapText="1"/>
    </xf>
    <xf numFmtId="0" fontId="48" fillId="0" borderId="7" xfId="0" applyFont="1" applyBorder="1" applyAlignment="1" applyProtection="1">
      <alignment horizontal="right" wrapText="1"/>
    </xf>
    <xf numFmtId="0" fontId="48" fillId="0" borderId="2" xfId="0" applyFont="1" applyBorder="1" applyAlignment="1" applyProtection="1">
      <alignment horizontal="right" wrapText="1"/>
    </xf>
    <xf numFmtId="2" fontId="1" fillId="2" borderId="10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2" fontId="12" fillId="3" borderId="0" xfId="0" applyNumberFormat="1" applyFont="1" applyFill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wrapText="1"/>
    </xf>
    <xf numFmtId="0" fontId="10" fillId="5" borderId="14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3" borderId="5" xfId="0" applyFill="1" applyBorder="1" applyAlignment="1"/>
    <xf numFmtId="0" fontId="0" fillId="3" borderId="2" xfId="0" applyFill="1" applyBorder="1" applyAlignment="1"/>
    <xf numFmtId="0" fontId="6" fillId="4" borderId="18" xfId="0" applyFont="1" applyFill="1" applyBorder="1" applyAlignment="1">
      <alignment wrapText="1"/>
    </xf>
    <xf numFmtId="0" fontId="6" fillId="4" borderId="1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4" fillId="2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/>
    <xf numFmtId="0" fontId="0" fillId="3" borderId="0" xfId="0" applyFill="1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14" fillId="2" borderId="5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6" fillId="4" borderId="1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1" fillId="3" borderId="0" xfId="0" applyFont="1" applyFill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0" fontId="4" fillId="9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9" fillId="9" borderId="5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Alignment="1">
      <alignment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vertical="center" wrapText="1"/>
    </xf>
    <xf numFmtId="0" fontId="12" fillId="0" borderId="3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50" fillId="3" borderId="0" xfId="0" applyFont="1" applyFill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center" vertical="top" textRotation="180" wrapText="1"/>
    </xf>
    <xf numFmtId="0" fontId="14" fillId="2" borderId="6" xfId="0" applyFont="1" applyFill="1" applyBorder="1" applyAlignment="1" applyProtection="1">
      <alignment horizontal="center" vertical="top" textRotation="180" wrapText="1"/>
    </xf>
    <xf numFmtId="0" fontId="14" fillId="2" borderId="10" xfId="0" applyFont="1" applyFill="1" applyBorder="1" applyAlignment="1" applyProtection="1">
      <alignment textRotation="180" wrapText="1"/>
    </xf>
    <xf numFmtId="0" fontId="14" fillId="2" borderId="6" xfId="0" applyFont="1" applyFill="1" applyBorder="1" applyAlignment="1" applyProtection="1">
      <alignment textRotation="180" wrapText="1"/>
    </xf>
    <xf numFmtId="0" fontId="0" fillId="0" borderId="6" xfId="0" applyBorder="1" applyAlignment="1">
      <alignment horizontal="center" vertical="top" textRotation="180" wrapText="1"/>
    </xf>
    <xf numFmtId="169" fontId="14" fillId="3" borderId="0" xfId="0" applyNumberFormat="1" applyFont="1" applyFill="1" applyBorder="1" applyAlignment="1" applyProtection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4" fontId="14" fillId="2" borderId="10" xfId="0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wrapText="1"/>
    </xf>
    <xf numFmtId="168" fontId="31" fillId="3" borderId="0" xfId="0" applyNumberFormat="1" applyFont="1" applyFill="1" applyBorder="1" applyAlignment="1" applyProtection="1">
      <alignment horizontal="center" vertical="center" wrapText="1"/>
    </xf>
    <xf numFmtId="0" fontId="39" fillId="4" borderId="18" xfId="0" applyFont="1" applyFill="1" applyBorder="1" applyAlignment="1" applyProtection="1">
      <alignment horizontal="center" vertical="center" wrapText="1"/>
    </xf>
    <xf numFmtId="0" fontId="34" fillId="2" borderId="10" xfId="0" applyFont="1" applyFill="1" applyBorder="1" applyAlignment="1" applyProtection="1">
      <alignment horizontal="center" vertical="center" textRotation="90" wrapText="1"/>
    </xf>
    <xf numFmtId="0" fontId="0" fillId="0" borderId="24" xfId="0" applyBorder="1" applyAlignment="1" applyProtection="1">
      <alignment vertical="center" wrapText="1"/>
    </xf>
    <xf numFmtId="0" fontId="35" fillId="2" borderId="10" xfId="0" applyFont="1" applyFill="1" applyBorder="1" applyAlignment="1" applyProtection="1">
      <alignment horizontal="center" vertical="center" textRotation="90" wrapText="1"/>
    </xf>
    <xf numFmtId="0" fontId="11" fillId="0" borderId="0" xfId="0" applyFont="1" applyAlignment="1" applyProtection="1">
      <alignment vertical="center" wrapText="1"/>
    </xf>
    <xf numFmtId="0" fontId="13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39" fillId="4" borderId="0" xfId="0" applyFont="1" applyFill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4" fontId="14" fillId="2" borderId="10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textRotation="90" wrapText="1"/>
    </xf>
    <xf numFmtId="0" fontId="14" fillId="2" borderId="6" xfId="0" applyFont="1" applyFill="1" applyBorder="1" applyAlignment="1" applyProtection="1">
      <alignment horizontal="center" vertical="center" textRotation="90" wrapText="1"/>
    </xf>
    <xf numFmtId="4" fontId="14" fillId="2" borderId="19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4" fillId="9" borderId="18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right" vertical="center" wrapText="1"/>
    </xf>
    <xf numFmtId="164" fontId="12" fillId="3" borderId="0" xfId="0" applyNumberFormat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center" textRotation="90" wrapText="1"/>
    </xf>
    <xf numFmtId="4" fontId="33" fillId="2" borderId="10" xfId="0" applyNumberFormat="1" applyFont="1" applyFill="1" applyBorder="1" applyAlignment="1" applyProtection="1">
      <alignment horizontal="center" vertical="center" textRotation="90" wrapText="1"/>
    </xf>
    <xf numFmtId="0" fontId="0" fillId="0" borderId="24" xfId="0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right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31" fillId="3" borderId="0" xfId="0" applyNumberFormat="1" applyFont="1" applyFill="1" applyBorder="1" applyAlignment="1" applyProtection="1">
      <alignment horizontal="center" vertical="center" wrapText="1"/>
    </xf>
    <xf numFmtId="3" fontId="31" fillId="3" borderId="0" xfId="0" applyNumberFormat="1" applyFont="1" applyFill="1" applyBorder="1" applyAlignment="1" applyProtection="1">
      <alignment vertical="center" wrapText="1"/>
    </xf>
    <xf numFmtId="164" fontId="15" fillId="3" borderId="0" xfId="0" applyNumberFormat="1" applyFont="1" applyFill="1" applyBorder="1" applyAlignment="1" applyProtection="1">
      <alignment horizontal="center" vertical="center" wrapText="1"/>
    </xf>
    <xf numFmtId="164" fontId="31" fillId="3" borderId="0" xfId="0" applyNumberFormat="1" applyFont="1" applyFill="1" applyBorder="1" applyAlignment="1" applyProtection="1">
      <alignment horizontal="center" vertical="center" wrapText="1"/>
    </xf>
    <xf numFmtId="4" fontId="31" fillId="3" borderId="0" xfId="0" applyNumberFormat="1" applyFont="1" applyFill="1" applyBorder="1" applyAlignment="1" applyProtection="1">
      <alignment horizontal="center" vertical="center" wrapText="1"/>
    </xf>
    <xf numFmtId="0" fontId="18" fillId="3" borderId="5" xfId="1" applyFill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31" xfId="0" applyFill="1" applyBorder="1" applyAlignment="1">
      <alignment wrapText="1"/>
    </xf>
    <xf numFmtId="0" fontId="0" fillId="2" borderId="31" xfId="0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15" fillId="5" borderId="10" xfId="0" applyFont="1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</xf>
    <xf numFmtId="0" fontId="14" fillId="0" borderId="0" xfId="0" applyFont="1" applyAlignment="1" applyProtection="1"/>
    <xf numFmtId="0" fontId="14" fillId="0" borderId="26" xfId="0" applyFont="1" applyBorder="1" applyAlignment="1" applyProtection="1"/>
    <xf numFmtId="0" fontId="0" fillId="2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32" xfId="0" applyBorder="1" applyAlignment="1" applyProtection="1">
      <alignment horizontal="right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/>
    <xf numFmtId="0" fontId="0" fillId="2" borderId="2" xfId="0" applyFill="1" applyBorder="1" applyAlignment="1" applyProtection="1"/>
    <xf numFmtId="0" fontId="14" fillId="5" borderId="10" xfId="0" applyFont="1" applyFill="1" applyBorder="1" applyAlignment="1" applyProtection="1">
      <alignment horizontal="center" wrapText="1"/>
    </xf>
    <xf numFmtId="0" fontId="14" fillId="5" borderId="6" xfId="0" applyFont="1" applyFill="1" applyBorder="1" applyAlignment="1" applyProtection="1">
      <alignment horizontal="center" wrapText="1"/>
    </xf>
    <xf numFmtId="2" fontId="14" fillId="3" borderId="10" xfId="0" applyNumberFormat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49" fontId="12" fillId="0" borderId="0" xfId="0" applyNumberFormat="1" applyFont="1" applyAlignment="1" applyProtection="1">
      <alignment horizontal="left"/>
    </xf>
    <xf numFmtId="2" fontId="14" fillId="6" borderId="10" xfId="0" applyNumberFormat="1" applyFont="1" applyFill="1" applyBorder="1" applyAlignment="1" applyProtection="1">
      <alignment horizontal="center" wrapText="1"/>
    </xf>
    <xf numFmtId="0" fontId="0" fillId="6" borderId="6" xfId="0" applyFill="1" applyBorder="1" applyAlignment="1" applyProtection="1">
      <alignment horizontal="center" wrapText="1"/>
    </xf>
    <xf numFmtId="0" fontId="0" fillId="0" borderId="0" xfId="0" applyAlignment="1" applyProtection="1"/>
    <xf numFmtId="0" fontId="4" fillId="4" borderId="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horizontal="center"/>
    </xf>
    <xf numFmtId="2" fontId="14" fillId="5" borderId="10" xfId="0" applyNumberFormat="1" applyFont="1" applyFill="1" applyBorder="1" applyAlignment="1" applyProtection="1">
      <alignment horizontal="center" wrapText="1"/>
    </xf>
    <xf numFmtId="0" fontId="0" fillId="5" borderId="6" xfId="0" applyFill="1" applyBorder="1" applyAlignment="1" applyProtection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</xdr:row>
      <xdr:rowOff>180975</xdr:rowOff>
    </xdr:from>
    <xdr:to>
      <xdr:col>4</xdr:col>
      <xdr:colOff>847725</xdr:colOff>
      <xdr:row>8</xdr:row>
      <xdr:rowOff>47625</xdr:rowOff>
    </xdr:to>
    <xdr:sp macro="" textlink="">
      <xdr:nvSpPr>
        <xdr:cNvPr id="4281" name="Line 1">
          <a:extLst>
            <a:ext uri="{FF2B5EF4-FFF2-40B4-BE49-F238E27FC236}">
              <a16:creationId xmlns:a16="http://schemas.microsoft.com/office/drawing/2014/main" id="{BE3E1BFF-D065-4F9B-8742-AC19535B9066}"/>
            </a:ext>
          </a:extLst>
        </xdr:cNvPr>
        <xdr:cNvSpPr>
          <a:spLocks noChangeShapeType="1"/>
        </xdr:cNvSpPr>
      </xdr:nvSpPr>
      <xdr:spPr bwMode="auto">
        <a:xfrm flipH="1">
          <a:off x="1047750" y="819150"/>
          <a:ext cx="2619375" cy="166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19</xdr:row>
      <xdr:rowOff>0</xdr:rowOff>
    </xdr:from>
    <xdr:to>
      <xdr:col>4</xdr:col>
      <xdr:colOff>790575</xdr:colOff>
      <xdr:row>19</xdr:row>
      <xdr:rowOff>76200</xdr:rowOff>
    </xdr:to>
    <xdr:sp macro="" textlink="">
      <xdr:nvSpPr>
        <xdr:cNvPr id="4282" name="Line 2">
          <a:extLst>
            <a:ext uri="{FF2B5EF4-FFF2-40B4-BE49-F238E27FC236}">
              <a16:creationId xmlns:a16="http://schemas.microsoft.com/office/drawing/2014/main" id="{74D8FC5B-D4F4-49DF-A365-CFC30A6116E1}"/>
            </a:ext>
          </a:extLst>
        </xdr:cNvPr>
        <xdr:cNvSpPr>
          <a:spLocks noChangeShapeType="1"/>
        </xdr:cNvSpPr>
      </xdr:nvSpPr>
      <xdr:spPr bwMode="auto">
        <a:xfrm flipH="1" flipV="1">
          <a:off x="1800225" y="4362450"/>
          <a:ext cx="18097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22</xdr:row>
      <xdr:rowOff>76200</xdr:rowOff>
    </xdr:from>
    <xdr:to>
      <xdr:col>2</xdr:col>
      <xdr:colOff>1162050</xdr:colOff>
      <xdr:row>25</xdr:row>
      <xdr:rowOff>57150</xdr:rowOff>
    </xdr:to>
    <xdr:sp macro="" textlink="">
      <xdr:nvSpPr>
        <xdr:cNvPr id="4283" name="Line 3">
          <a:extLst>
            <a:ext uri="{FF2B5EF4-FFF2-40B4-BE49-F238E27FC236}">
              <a16:creationId xmlns:a16="http://schemas.microsoft.com/office/drawing/2014/main" id="{93AE5D37-C54A-4105-B27E-EDC41C6353D1}"/>
            </a:ext>
          </a:extLst>
        </xdr:cNvPr>
        <xdr:cNvSpPr>
          <a:spLocks noChangeShapeType="1"/>
        </xdr:cNvSpPr>
      </xdr:nvSpPr>
      <xdr:spPr bwMode="auto">
        <a:xfrm flipH="1" flipV="1">
          <a:off x="1323975" y="4924425"/>
          <a:ext cx="30480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0</xdr:row>
      <xdr:rowOff>114300</xdr:rowOff>
    </xdr:from>
    <xdr:to>
      <xdr:col>4</xdr:col>
      <xdr:colOff>847725</xdr:colOff>
      <xdr:row>0</xdr:row>
      <xdr:rowOff>114300</xdr:rowOff>
    </xdr:to>
    <xdr:sp macro="" textlink="">
      <xdr:nvSpPr>
        <xdr:cNvPr id="4284" name="Line 4">
          <a:extLst>
            <a:ext uri="{FF2B5EF4-FFF2-40B4-BE49-F238E27FC236}">
              <a16:creationId xmlns:a16="http://schemas.microsoft.com/office/drawing/2014/main" id="{101C2ED8-3614-4477-BCE4-3B931DCE6E5A}"/>
            </a:ext>
          </a:extLst>
        </xdr:cNvPr>
        <xdr:cNvSpPr>
          <a:spLocks noChangeShapeType="1"/>
        </xdr:cNvSpPr>
      </xdr:nvSpPr>
      <xdr:spPr bwMode="auto">
        <a:xfrm flipH="1">
          <a:off x="1809750" y="1143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180975</xdr:rowOff>
    </xdr:from>
    <xdr:to>
      <xdr:col>8</xdr:col>
      <xdr:colOff>266700</xdr:colOff>
      <xdr:row>0</xdr:row>
      <xdr:rowOff>209550</xdr:rowOff>
    </xdr:to>
    <xdr:sp macro="" textlink="">
      <xdr:nvSpPr>
        <xdr:cNvPr id="5351" name="Line 1">
          <a:extLst>
            <a:ext uri="{FF2B5EF4-FFF2-40B4-BE49-F238E27FC236}">
              <a16:creationId xmlns:a16="http://schemas.microsoft.com/office/drawing/2014/main" id="{F3D6E875-E145-4208-90BD-3279DD467245}"/>
            </a:ext>
          </a:extLst>
        </xdr:cNvPr>
        <xdr:cNvSpPr>
          <a:spLocks noChangeShapeType="1"/>
        </xdr:cNvSpPr>
      </xdr:nvSpPr>
      <xdr:spPr bwMode="auto">
        <a:xfrm flipH="1" flipV="1">
          <a:off x="2124075" y="180975"/>
          <a:ext cx="54864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</xdr:row>
      <xdr:rowOff>0</xdr:rowOff>
    </xdr:from>
    <xdr:to>
      <xdr:col>8</xdr:col>
      <xdr:colOff>228600</xdr:colOff>
      <xdr:row>6</xdr:row>
      <xdr:rowOff>266700</xdr:rowOff>
    </xdr:to>
    <xdr:sp macro="" textlink="">
      <xdr:nvSpPr>
        <xdr:cNvPr id="5352" name="Line 2">
          <a:extLst>
            <a:ext uri="{FF2B5EF4-FFF2-40B4-BE49-F238E27FC236}">
              <a16:creationId xmlns:a16="http://schemas.microsoft.com/office/drawing/2014/main" id="{E36E966B-FBDB-4E84-B010-F0B482A6CB22}"/>
            </a:ext>
          </a:extLst>
        </xdr:cNvPr>
        <xdr:cNvSpPr>
          <a:spLocks noChangeShapeType="1"/>
        </xdr:cNvSpPr>
      </xdr:nvSpPr>
      <xdr:spPr bwMode="auto">
        <a:xfrm flipH="1">
          <a:off x="3619500" y="228600"/>
          <a:ext cx="3952875" cy="266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1914525</xdr:colOff>
      <xdr:row>5</xdr:row>
      <xdr:rowOff>590550</xdr:rowOff>
    </xdr:from>
    <xdr:to>
      <xdr:col>4</xdr:col>
      <xdr:colOff>66675</xdr:colOff>
      <xdr:row>10</xdr:row>
      <xdr:rowOff>66675</xdr:rowOff>
    </xdr:to>
    <xdr:sp macro="" textlink="">
      <xdr:nvSpPr>
        <xdr:cNvPr id="5353" name="AutoShape 3">
          <a:extLst>
            <a:ext uri="{FF2B5EF4-FFF2-40B4-BE49-F238E27FC236}">
              <a16:creationId xmlns:a16="http://schemas.microsoft.com/office/drawing/2014/main" id="{F5B33814-7B91-49A2-A322-3A65D15F2CBD}"/>
            </a:ext>
          </a:extLst>
        </xdr:cNvPr>
        <xdr:cNvSpPr>
          <a:spLocks/>
        </xdr:cNvSpPr>
      </xdr:nvSpPr>
      <xdr:spPr bwMode="auto">
        <a:xfrm rot="-1479970">
          <a:off x="3457575" y="2324100"/>
          <a:ext cx="104775" cy="1314450"/>
        </a:xfrm>
        <a:prstGeom prst="rightBrace">
          <a:avLst>
            <a:gd name="adj1" fmla="val 104545"/>
            <a:gd name="adj2" fmla="val 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714375</xdr:colOff>
      <xdr:row>60</xdr:row>
      <xdr:rowOff>9525</xdr:rowOff>
    </xdr:from>
    <xdr:to>
      <xdr:col>7</xdr:col>
      <xdr:colOff>28575</xdr:colOff>
      <xdr:row>61</xdr:row>
      <xdr:rowOff>142875</xdr:rowOff>
    </xdr:to>
    <xdr:sp macro="" textlink="">
      <xdr:nvSpPr>
        <xdr:cNvPr id="5354" name="Line 4">
          <a:extLst>
            <a:ext uri="{FF2B5EF4-FFF2-40B4-BE49-F238E27FC236}">
              <a16:creationId xmlns:a16="http://schemas.microsoft.com/office/drawing/2014/main" id="{21BD7AD4-5E01-40AA-BCF2-DFA412A6C474}"/>
            </a:ext>
          </a:extLst>
        </xdr:cNvPr>
        <xdr:cNvSpPr>
          <a:spLocks noChangeShapeType="1"/>
        </xdr:cNvSpPr>
      </xdr:nvSpPr>
      <xdr:spPr bwMode="auto">
        <a:xfrm flipH="1" flipV="1">
          <a:off x="6143625" y="11677650"/>
          <a:ext cx="2762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60</xdr:row>
      <xdr:rowOff>38100</xdr:rowOff>
    </xdr:from>
    <xdr:to>
      <xdr:col>6</xdr:col>
      <xdr:colOff>352425</xdr:colOff>
      <xdr:row>63</xdr:row>
      <xdr:rowOff>47625</xdr:rowOff>
    </xdr:to>
    <xdr:sp macro="" textlink="">
      <xdr:nvSpPr>
        <xdr:cNvPr id="5355" name="Line 5">
          <a:extLst>
            <a:ext uri="{FF2B5EF4-FFF2-40B4-BE49-F238E27FC236}">
              <a16:creationId xmlns:a16="http://schemas.microsoft.com/office/drawing/2014/main" id="{D6C949D8-C276-4111-9251-B9A0040E74DC}"/>
            </a:ext>
          </a:extLst>
        </xdr:cNvPr>
        <xdr:cNvSpPr>
          <a:spLocks noChangeShapeType="1"/>
        </xdr:cNvSpPr>
      </xdr:nvSpPr>
      <xdr:spPr bwMode="auto">
        <a:xfrm flipV="1">
          <a:off x="3600450" y="11706225"/>
          <a:ext cx="21812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3</xdr:row>
      <xdr:rowOff>57150</xdr:rowOff>
    </xdr:from>
    <xdr:to>
      <xdr:col>6</xdr:col>
      <xdr:colOff>885825</xdr:colOff>
      <xdr:row>9</xdr:row>
      <xdr:rowOff>142875</xdr:rowOff>
    </xdr:to>
    <xdr:sp macro="" textlink="">
      <xdr:nvSpPr>
        <xdr:cNvPr id="3442" name="Line 2">
          <a:extLst>
            <a:ext uri="{FF2B5EF4-FFF2-40B4-BE49-F238E27FC236}">
              <a16:creationId xmlns:a16="http://schemas.microsoft.com/office/drawing/2014/main" id="{2591F1F4-AA01-4EB2-B41D-C42D53A7E925}"/>
            </a:ext>
          </a:extLst>
        </xdr:cNvPr>
        <xdr:cNvSpPr>
          <a:spLocks noChangeShapeType="1"/>
        </xdr:cNvSpPr>
      </xdr:nvSpPr>
      <xdr:spPr bwMode="auto">
        <a:xfrm>
          <a:off x="5353050" y="704850"/>
          <a:ext cx="1228725" cy="1581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638175</xdr:colOff>
      <xdr:row>16</xdr:row>
      <xdr:rowOff>647700</xdr:rowOff>
    </xdr:from>
    <xdr:to>
      <xdr:col>2</xdr:col>
      <xdr:colOff>1152525</xdr:colOff>
      <xdr:row>24</xdr:row>
      <xdr:rowOff>47625</xdr:rowOff>
    </xdr:to>
    <xdr:sp macro="" textlink="">
      <xdr:nvSpPr>
        <xdr:cNvPr id="3443" name="Line 3">
          <a:extLst>
            <a:ext uri="{FF2B5EF4-FFF2-40B4-BE49-F238E27FC236}">
              <a16:creationId xmlns:a16="http://schemas.microsoft.com/office/drawing/2014/main" id="{FCA6C396-50B4-4534-A565-3C75F7D5FBCC}"/>
            </a:ext>
          </a:extLst>
        </xdr:cNvPr>
        <xdr:cNvSpPr>
          <a:spLocks noChangeShapeType="1"/>
        </xdr:cNvSpPr>
      </xdr:nvSpPr>
      <xdr:spPr bwMode="auto">
        <a:xfrm flipH="1">
          <a:off x="2647950" y="3990975"/>
          <a:ext cx="51435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1152525</xdr:colOff>
      <xdr:row>16</xdr:row>
      <xdr:rowOff>657225</xdr:rowOff>
    </xdr:from>
    <xdr:to>
      <xdr:col>4</xdr:col>
      <xdr:colOff>190500</xdr:colOff>
      <xdr:row>23</xdr:row>
      <xdr:rowOff>19050</xdr:rowOff>
    </xdr:to>
    <xdr:sp macro="" textlink="">
      <xdr:nvSpPr>
        <xdr:cNvPr id="3444" name="Line 4">
          <a:extLst>
            <a:ext uri="{FF2B5EF4-FFF2-40B4-BE49-F238E27FC236}">
              <a16:creationId xmlns:a16="http://schemas.microsoft.com/office/drawing/2014/main" id="{E83A666D-CA3B-40E5-B488-CE5DB3484DF0}"/>
            </a:ext>
          </a:extLst>
        </xdr:cNvPr>
        <xdr:cNvSpPr>
          <a:spLocks noChangeShapeType="1"/>
        </xdr:cNvSpPr>
      </xdr:nvSpPr>
      <xdr:spPr bwMode="auto">
        <a:xfrm>
          <a:off x="3162300" y="4000500"/>
          <a:ext cx="1209675" cy="2124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17</xdr:row>
      <xdr:rowOff>9525</xdr:rowOff>
    </xdr:from>
    <xdr:to>
      <xdr:col>5</xdr:col>
      <xdr:colOff>666750</xdr:colOff>
      <xdr:row>22</xdr:row>
      <xdr:rowOff>66675</xdr:rowOff>
    </xdr:to>
    <xdr:sp macro="" textlink="">
      <xdr:nvSpPr>
        <xdr:cNvPr id="3445" name="Line 5">
          <a:extLst>
            <a:ext uri="{FF2B5EF4-FFF2-40B4-BE49-F238E27FC236}">
              <a16:creationId xmlns:a16="http://schemas.microsoft.com/office/drawing/2014/main" id="{3EFDC61A-E656-4F45-8C9E-E8C9243ACDD3}"/>
            </a:ext>
          </a:extLst>
        </xdr:cNvPr>
        <xdr:cNvSpPr>
          <a:spLocks noChangeShapeType="1"/>
        </xdr:cNvSpPr>
      </xdr:nvSpPr>
      <xdr:spPr bwMode="auto">
        <a:xfrm flipH="1">
          <a:off x="5353050" y="4057650"/>
          <a:ext cx="257175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17</xdr:row>
      <xdr:rowOff>19050</xdr:rowOff>
    </xdr:from>
    <xdr:to>
      <xdr:col>7</xdr:col>
      <xdr:colOff>123825</xdr:colOff>
      <xdr:row>22</xdr:row>
      <xdr:rowOff>66675</xdr:rowOff>
    </xdr:to>
    <xdr:sp macro="" textlink="">
      <xdr:nvSpPr>
        <xdr:cNvPr id="3446" name="Line 6">
          <a:extLst>
            <a:ext uri="{FF2B5EF4-FFF2-40B4-BE49-F238E27FC236}">
              <a16:creationId xmlns:a16="http://schemas.microsoft.com/office/drawing/2014/main" id="{B85A00DA-605E-4029-A371-2CB439DB7C1D}"/>
            </a:ext>
          </a:extLst>
        </xdr:cNvPr>
        <xdr:cNvSpPr>
          <a:spLocks noChangeShapeType="1"/>
        </xdr:cNvSpPr>
      </xdr:nvSpPr>
      <xdr:spPr bwMode="auto">
        <a:xfrm>
          <a:off x="5600700" y="4067175"/>
          <a:ext cx="1143000" cy="140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17</xdr:row>
      <xdr:rowOff>9525</xdr:rowOff>
    </xdr:from>
    <xdr:to>
      <xdr:col>9</xdr:col>
      <xdr:colOff>123825</xdr:colOff>
      <xdr:row>22</xdr:row>
      <xdr:rowOff>114300</xdr:rowOff>
    </xdr:to>
    <xdr:sp macro="" textlink="">
      <xdr:nvSpPr>
        <xdr:cNvPr id="3447" name="Line 7">
          <a:extLst>
            <a:ext uri="{FF2B5EF4-FFF2-40B4-BE49-F238E27FC236}">
              <a16:creationId xmlns:a16="http://schemas.microsoft.com/office/drawing/2014/main" id="{AD91BAFF-F333-4BFE-8398-5651A1B80405}"/>
            </a:ext>
          </a:extLst>
        </xdr:cNvPr>
        <xdr:cNvSpPr>
          <a:spLocks noChangeShapeType="1"/>
        </xdr:cNvSpPr>
      </xdr:nvSpPr>
      <xdr:spPr bwMode="auto">
        <a:xfrm>
          <a:off x="5619750" y="4057650"/>
          <a:ext cx="2943225" cy="146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723900</xdr:colOff>
      <xdr:row>16</xdr:row>
      <xdr:rowOff>552450</xdr:rowOff>
    </xdr:from>
    <xdr:to>
      <xdr:col>11</xdr:col>
      <xdr:colOff>438150</xdr:colOff>
      <xdr:row>21</xdr:row>
      <xdr:rowOff>104775</xdr:rowOff>
    </xdr:to>
    <xdr:sp macro="" textlink="">
      <xdr:nvSpPr>
        <xdr:cNvPr id="3448" name="Line 8">
          <a:extLst>
            <a:ext uri="{FF2B5EF4-FFF2-40B4-BE49-F238E27FC236}">
              <a16:creationId xmlns:a16="http://schemas.microsoft.com/office/drawing/2014/main" id="{FBC265C4-360D-4009-B26B-A7890D9D3040}"/>
            </a:ext>
          </a:extLst>
        </xdr:cNvPr>
        <xdr:cNvSpPr>
          <a:spLocks noChangeShapeType="1"/>
        </xdr:cNvSpPr>
      </xdr:nvSpPr>
      <xdr:spPr bwMode="auto">
        <a:xfrm>
          <a:off x="10086975" y="3895725"/>
          <a:ext cx="6381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16</xdr:row>
      <xdr:rowOff>581025</xdr:rowOff>
    </xdr:from>
    <xdr:to>
      <xdr:col>12</xdr:col>
      <xdr:colOff>771525</xdr:colOff>
      <xdr:row>25</xdr:row>
      <xdr:rowOff>66675</xdr:rowOff>
    </xdr:to>
    <xdr:sp macro="" textlink="">
      <xdr:nvSpPr>
        <xdr:cNvPr id="3449" name="Line 9">
          <a:extLst>
            <a:ext uri="{FF2B5EF4-FFF2-40B4-BE49-F238E27FC236}">
              <a16:creationId xmlns:a16="http://schemas.microsoft.com/office/drawing/2014/main" id="{637BCBA1-6C6B-4755-8994-FA999672654C}"/>
            </a:ext>
          </a:extLst>
        </xdr:cNvPr>
        <xdr:cNvSpPr>
          <a:spLocks noChangeShapeType="1"/>
        </xdr:cNvSpPr>
      </xdr:nvSpPr>
      <xdr:spPr bwMode="auto">
        <a:xfrm>
          <a:off x="11249025" y="3924300"/>
          <a:ext cx="733425" cy="2590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371475</xdr:rowOff>
    </xdr:from>
    <xdr:to>
      <xdr:col>3</xdr:col>
      <xdr:colOff>590550</xdr:colOff>
      <xdr:row>6</xdr:row>
      <xdr:rowOff>142875</xdr:rowOff>
    </xdr:to>
    <xdr:sp macro="" textlink="">
      <xdr:nvSpPr>
        <xdr:cNvPr id="6237" name="Line 1">
          <a:extLst>
            <a:ext uri="{FF2B5EF4-FFF2-40B4-BE49-F238E27FC236}">
              <a16:creationId xmlns:a16="http://schemas.microsoft.com/office/drawing/2014/main" id="{28F596DA-40AA-4C60-A983-593878BBA0AF}"/>
            </a:ext>
          </a:extLst>
        </xdr:cNvPr>
        <xdr:cNvSpPr>
          <a:spLocks noChangeShapeType="1"/>
        </xdr:cNvSpPr>
      </xdr:nvSpPr>
      <xdr:spPr bwMode="auto">
        <a:xfrm>
          <a:off x="3038475" y="695325"/>
          <a:ext cx="257175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2</xdr:row>
      <xdr:rowOff>609600</xdr:rowOff>
    </xdr:from>
    <xdr:to>
      <xdr:col>8</xdr:col>
      <xdr:colOff>495300</xdr:colOff>
      <xdr:row>7</xdr:row>
      <xdr:rowOff>38100</xdr:rowOff>
    </xdr:to>
    <xdr:sp macro="" textlink="">
      <xdr:nvSpPr>
        <xdr:cNvPr id="6238" name="Line 2">
          <a:extLst>
            <a:ext uri="{FF2B5EF4-FFF2-40B4-BE49-F238E27FC236}">
              <a16:creationId xmlns:a16="http://schemas.microsoft.com/office/drawing/2014/main" id="{D6FEE3AD-A432-48DA-A419-581373FBFF13}"/>
            </a:ext>
          </a:extLst>
        </xdr:cNvPr>
        <xdr:cNvSpPr>
          <a:spLocks noChangeShapeType="1"/>
        </xdr:cNvSpPr>
      </xdr:nvSpPr>
      <xdr:spPr bwMode="auto">
        <a:xfrm>
          <a:off x="6153150" y="933450"/>
          <a:ext cx="79057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13</xdr:row>
      <xdr:rowOff>38100</xdr:rowOff>
    </xdr:from>
    <xdr:to>
      <xdr:col>4</xdr:col>
      <xdr:colOff>619125</xdr:colOff>
      <xdr:row>22</xdr:row>
      <xdr:rowOff>66675</xdr:rowOff>
    </xdr:to>
    <xdr:sp macro="" textlink="">
      <xdr:nvSpPr>
        <xdr:cNvPr id="7261" name="Line 1">
          <a:extLst>
            <a:ext uri="{FF2B5EF4-FFF2-40B4-BE49-F238E27FC236}">
              <a16:creationId xmlns:a16="http://schemas.microsoft.com/office/drawing/2014/main" id="{BD09E83D-6517-4023-A9FF-07E5062BC2DF}"/>
            </a:ext>
          </a:extLst>
        </xdr:cNvPr>
        <xdr:cNvSpPr>
          <a:spLocks noChangeShapeType="1"/>
        </xdr:cNvSpPr>
      </xdr:nvSpPr>
      <xdr:spPr bwMode="auto">
        <a:xfrm flipH="1">
          <a:off x="3667125" y="2847975"/>
          <a:ext cx="66675" cy="382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809625</xdr:colOff>
      <xdr:row>13</xdr:row>
      <xdr:rowOff>57150</xdr:rowOff>
    </xdr:from>
    <xdr:to>
      <xdr:col>4</xdr:col>
      <xdr:colOff>628650</xdr:colOff>
      <xdr:row>22</xdr:row>
      <xdr:rowOff>28575</xdr:rowOff>
    </xdr:to>
    <xdr:sp macro="" textlink="">
      <xdr:nvSpPr>
        <xdr:cNvPr id="7262" name="Line 2">
          <a:extLst>
            <a:ext uri="{FF2B5EF4-FFF2-40B4-BE49-F238E27FC236}">
              <a16:creationId xmlns:a16="http://schemas.microsoft.com/office/drawing/2014/main" id="{1847F276-77FB-4841-ADA8-9FB18F9864C9}"/>
            </a:ext>
          </a:extLst>
        </xdr:cNvPr>
        <xdr:cNvSpPr>
          <a:spLocks noChangeShapeType="1"/>
        </xdr:cNvSpPr>
      </xdr:nvSpPr>
      <xdr:spPr bwMode="auto">
        <a:xfrm flipH="1">
          <a:off x="2028825" y="2867025"/>
          <a:ext cx="1714500" cy="3771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16</xdr:row>
      <xdr:rowOff>66675</xdr:rowOff>
    </xdr:from>
    <xdr:to>
      <xdr:col>4</xdr:col>
      <xdr:colOff>361950</xdr:colOff>
      <xdr:row>21</xdr:row>
      <xdr:rowOff>771525</xdr:rowOff>
    </xdr:to>
    <xdr:sp macro="" textlink="">
      <xdr:nvSpPr>
        <xdr:cNvPr id="8377" name="Line 1">
          <a:extLst>
            <a:ext uri="{FF2B5EF4-FFF2-40B4-BE49-F238E27FC236}">
              <a16:creationId xmlns:a16="http://schemas.microsoft.com/office/drawing/2014/main" id="{34971BE0-E89C-4DA3-A705-FD932FEC234D}"/>
            </a:ext>
          </a:extLst>
        </xdr:cNvPr>
        <xdr:cNvSpPr>
          <a:spLocks noChangeShapeType="1"/>
        </xdr:cNvSpPr>
      </xdr:nvSpPr>
      <xdr:spPr bwMode="auto">
        <a:xfrm flipH="1">
          <a:off x="2714625" y="3686175"/>
          <a:ext cx="552450" cy="3219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16</xdr:row>
      <xdr:rowOff>57150</xdr:rowOff>
    </xdr:from>
    <xdr:to>
      <xdr:col>4</xdr:col>
      <xdr:colOff>371475</xdr:colOff>
      <xdr:row>21</xdr:row>
      <xdr:rowOff>762000</xdr:rowOff>
    </xdr:to>
    <xdr:sp macro="" textlink="">
      <xdr:nvSpPr>
        <xdr:cNvPr id="8378" name="Line 2">
          <a:extLst>
            <a:ext uri="{FF2B5EF4-FFF2-40B4-BE49-F238E27FC236}">
              <a16:creationId xmlns:a16="http://schemas.microsoft.com/office/drawing/2014/main" id="{FEE104BC-1A14-4169-8472-3C4D60499B4B}"/>
            </a:ext>
          </a:extLst>
        </xdr:cNvPr>
        <xdr:cNvSpPr>
          <a:spLocks noChangeShapeType="1"/>
        </xdr:cNvSpPr>
      </xdr:nvSpPr>
      <xdr:spPr bwMode="auto">
        <a:xfrm flipH="1">
          <a:off x="3162300" y="3676650"/>
          <a:ext cx="114300" cy="3219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1009650</xdr:colOff>
      <xdr:row>16</xdr:row>
      <xdr:rowOff>600075</xdr:rowOff>
    </xdr:from>
    <xdr:to>
      <xdr:col>11</xdr:col>
      <xdr:colOff>104775</xdr:colOff>
      <xdr:row>20</xdr:row>
      <xdr:rowOff>447675</xdr:rowOff>
    </xdr:to>
    <xdr:sp macro="" textlink="">
      <xdr:nvSpPr>
        <xdr:cNvPr id="8379" name="Line 3">
          <a:extLst>
            <a:ext uri="{FF2B5EF4-FFF2-40B4-BE49-F238E27FC236}">
              <a16:creationId xmlns:a16="http://schemas.microsoft.com/office/drawing/2014/main" id="{2D35CB68-C217-49A2-9ED5-0D5D8A51D4EE}"/>
            </a:ext>
          </a:extLst>
        </xdr:cNvPr>
        <xdr:cNvSpPr>
          <a:spLocks noChangeShapeType="1"/>
        </xdr:cNvSpPr>
      </xdr:nvSpPr>
      <xdr:spPr bwMode="auto">
        <a:xfrm>
          <a:off x="6810375" y="4219575"/>
          <a:ext cx="990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16</xdr:row>
      <xdr:rowOff>609600</xdr:rowOff>
    </xdr:from>
    <xdr:to>
      <xdr:col>12</xdr:col>
      <xdr:colOff>219075</xdr:colOff>
      <xdr:row>20</xdr:row>
      <xdr:rowOff>457200</xdr:rowOff>
    </xdr:to>
    <xdr:sp macro="" textlink="">
      <xdr:nvSpPr>
        <xdr:cNvPr id="8380" name="Line 4">
          <a:extLst>
            <a:ext uri="{FF2B5EF4-FFF2-40B4-BE49-F238E27FC236}">
              <a16:creationId xmlns:a16="http://schemas.microsoft.com/office/drawing/2014/main" id="{4428B1D4-70C7-46EF-B6C8-7F775B1472EE}"/>
            </a:ext>
          </a:extLst>
        </xdr:cNvPr>
        <xdr:cNvSpPr>
          <a:spLocks noChangeShapeType="1"/>
        </xdr:cNvSpPr>
      </xdr:nvSpPr>
      <xdr:spPr bwMode="auto">
        <a:xfrm flipH="1">
          <a:off x="8439150" y="4229100"/>
          <a:ext cx="85725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16</xdr:row>
      <xdr:rowOff>619125</xdr:rowOff>
    </xdr:from>
    <xdr:to>
      <xdr:col>5</xdr:col>
      <xdr:colOff>685800</xdr:colOff>
      <xdr:row>22</xdr:row>
      <xdr:rowOff>666750</xdr:rowOff>
    </xdr:to>
    <xdr:sp macro="" textlink="">
      <xdr:nvSpPr>
        <xdr:cNvPr id="9355" name="Line 1">
          <a:extLst>
            <a:ext uri="{FF2B5EF4-FFF2-40B4-BE49-F238E27FC236}">
              <a16:creationId xmlns:a16="http://schemas.microsoft.com/office/drawing/2014/main" id="{0023BD1C-9A99-4303-9DC5-CF4099048D10}"/>
            </a:ext>
          </a:extLst>
        </xdr:cNvPr>
        <xdr:cNvSpPr>
          <a:spLocks noChangeShapeType="1"/>
        </xdr:cNvSpPr>
      </xdr:nvSpPr>
      <xdr:spPr bwMode="auto">
        <a:xfrm>
          <a:off x="3933825" y="3571875"/>
          <a:ext cx="76200" cy="3790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16</xdr:row>
      <xdr:rowOff>619125</xdr:rowOff>
    </xdr:from>
    <xdr:to>
      <xdr:col>6</xdr:col>
      <xdr:colOff>361950</xdr:colOff>
      <xdr:row>23</xdr:row>
      <xdr:rowOff>114300</xdr:rowOff>
    </xdr:to>
    <xdr:sp macro="" textlink="">
      <xdr:nvSpPr>
        <xdr:cNvPr id="9356" name="Line 2">
          <a:extLst>
            <a:ext uri="{FF2B5EF4-FFF2-40B4-BE49-F238E27FC236}">
              <a16:creationId xmlns:a16="http://schemas.microsoft.com/office/drawing/2014/main" id="{34D6F34F-683E-448C-9A26-058FF65521C3}"/>
            </a:ext>
          </a:extLst>
        </xdr:cNvPr>
        <xdr:cNvSpPr>
          <a:spLocks noChangeShapeType="1"/>
        </xdr:cNvSpPr>
      </xdr:nvSpPr>
      <xdr:spPr bwMode="auto">
        <a:xfrm>
          <a:off x="3933825" y="3571875"/>
          <a:ext cx="876300" cy="400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16</xdr:row>
      <xdr:rowOff>628650</xdr:rowOff>
    </xdr:from>
    <xdr:to>
      <xdr:col>5</xdr:col>
      <xdr:colOff>609600</xdr:colOff>
      <xdr:row>22</xdr:row>
      <xdr:rowOff>733425</xdr:rowOff>
    </xdr:to>
    <xdr:sp macro="" textlink="">
      <xdr:nvSpPr>
        <xdr:cNvPr id="9357" name="Line 3">
          <a:extLst>
            <a:ext uri="{FF2B5EF4-FFF2-40B4-BE49-F238E27FC236}">
              <a16:creationId xmlns:a16="http://schemas.microsoft.com/office/drawing/2014/main" id="{B6AD19F7-9677-4FF6-9155-90735269BACC}"/>
            </a:ext>
          </a:extLst>
        </xdr:cNvPr>
        <xdr:cNvSpPr>
          <a:spLocks noChangeShapeType="1"/>
        </xdr:cNvSpPr>
      </xdr:nvSpPr>
      <xdr:spPr bwMode="auto">
        <a:xfrm flipH="1">
          <a:off x="3124200" y="3581400"/>
          <a:ext cx="809625" cy="384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2562225</xdr:colOff>
      <xdr:row>33</xdr:row>
      <xdr:rowOff>152400</xdr:rowOff>
    </xdr:to>
    <xdr:pic>
      <xdr:nvPicPr>
        <xdr:cNvPr id="2095" name="Picture 2" descr="eGrid2014 Subregions">
          <a:extLst>
            <a:ext uri="{FF2B5EF4-FFF2-40B4-BE49-F238E27FC236}">
              <a16:creationId xmlns:a16="http://schemas.microsoft.com/office/drawing/2014/main" id="{5B1F6BF5-4442-4CD3-81AD-A1BBBE20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2950"/>
          <a:ext cx="62198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100%20Jobs/Existing%20Files/Stone,%20Sand%20&amp;%20Gravel/1469%20NSSGA%20Carbon%20Footprint/Draft%20ACTPC%20Spreadsheets/hfc-pfc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WS 1a - Instructions (Producer)"/>
      <sheetName val="WS 1a - Sales Approach (Produc)"/>
      <sheetName val="WS 1b - Instructions (User)"/>
      <sheetName val="WS 1b - Sales Approach (User)"/>
      <sheetName val="WS 2 - Instructions"/>
      <sheetName val="WS 2 - Lifecycle Stage Approach"/>
      <sheetName val="WS 3  - Instructions"/>
      <sheetName val="WS 3 - Screening Method (EF) "/>
      <sheetName val="Table 1. GWPs"/>
      <sheetName val="Table 2. Default IPCC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 t="str">
            <v>CO2*</v>
          </cell>
          <cell r="D5">
            <v>1</v>
          </cell>
        </row>
        <row r="6">
          <cell r="C6" t="str">
            <v>CH4*</v>
          </cell>
          <cell r="D6">
            <v>21</v>
          </cell>
        </row>
        <row r="7">
          <cell r="C7" t="str">
            <v>N2O*</v>
          </cell>
          <cell r="D7">
            <v>310</v>
          </cell>
        </row>
        <row r="8">
          <cell r="C8" t="str">
            <v>HFC-23</v>
          </cell>
          <cell r="D8">
            <v>11700</v>
          </cell>
        </row>
        <row r="9">
          <cell r="C9" t="str">
            <v>HFC-32</v>
          </cell>
          <cell r="D9">
            <v>650</v>
          </cell>
        </row>
        <row r="10">
          <cell r="C10" t="str">
            <v>HFC-125</v>
          </cell>
          <cell r="D10">
            <v>2800</v>
          </cell>
        </row>
        <row r="11">
          <cell r="C11" t="str">
            <v>HFC-134a</v>
          </cell>
          <cell r="D11">
            <v>1300</v>
          </cell>
        </row>
        <row r="12">
          <cell r="C12" t="str">
            <v>HFC-143a</v>
          </cell>
          <cell r="D12">
            <v>3800</v>
          </cell>
        </row>
        <row r="13">
          <cell r="C13" t="str">
            <v>HFC-152a</v>
          </cell>
          <cell r="D13">
            <v>140</v>
          </cell>
        </row>
        <row r="14">
          <cell r="C14" t="str">
            <v>HFC-236fa</v>
          </cell>
          <cell r="D14">
            <v>6300</v>
          </cell>
        </row>
        <row r="15">
          <cell r="C15" t="str">
            <v>R-401A</v>
          </cell>
          <cell r="D15">
            <v>18.2</v>
          </cell>
        </row>
        <row r="16">
          <cell r="C16" t="str">
            <v>R-401B</v>
          </cell>
          <cell r="D16">
            <v>15.4</v>
          </cell>
        </row>
        <row r="17">
          <cell r="C17" t="str">
            <v>R-401C</v>
          </cell>
          <cell r="D17">
            <v>21</v>
          </cell>
        </row>
        <row r="18">
          <cell r="C18" t="str">
            <v>R-402A</v>
          </cell>
          <cell r="D18">
            <v>1680</v>
          </cell>
        </row>
        <row r="19">
          <cell r="C19" t="str">
            <v>R-402B</v>
          </cell>
          <cell r="D19">
            <v>1064</v>
          </cell>
        </row>
        <row r="20">
          <cell r="C20" t="str">
            <v>R-403A</v>
          </cell>
          <cell r="D20">
            <v>1400</v>
          </cell>
        </row>
        <row r="21">
          <cell r="C21" t="str">
            <v>R-403B</v>
          </cell>
          <cell r="D21">
            <v>2730</v>
          </cell>
        </row>
        <row r="22">
          <cell r="C22" t="str">
            <v>R-404A</v>
          </cell>
          <cell r="D22">
            <v>3260</v>
          </cell>
        </row>
        <row r="23">
          <cell r="C23" t="str">
            <v>R-406A</v>
          </cell>
          <cell r="D23">
            <v>0</v>
          </cell>
        </row>
        <row r="24">
          <cell r="C24" t="str">
            <v>R-407A</v>
          </cell>
          <cell r="D24">
            <v>1770</v>
          </cell>
        </row>
        <row r="25">
          <cell r="C25" t="str">
            <v>R-407B</v>
          </cell>
          <cell r="D25">
            <v>2285</v>
          </cell>
        </row>
        <row r="26">
          <cell r="C26" t="str">
            <v>R-407C</v>
          </cell>
          <cell r="D26">
            <v>1525.5</v>
          </cell>
        </row>
        <row r="27">
          <cell r="C27" t="str">
            <v>R-407D</v>
          </cell>
          <cell r="D27">
            <v>1428</v>
          </cell>
        </row>
        <row r="28">
          <cell r="C28" t="str">
            <v>R-407E</v>
          </cell>
          <cell r="D28">
            <v>1363</v>
          </cell>
        </row>
        <row r="29">
          <cell r="C29" t="str">
            <v>R-408A</v>
          </cell>
          <cell r="D29">
            <v>1944</v>
          </cell>
        </row>
        <row r="30">
          <cell r="C30" t="str">
            <v>R-409A</v>
          </cell>
          <cell r="D30">
            <v>0</v>
          </cell>
        </row>
        <row r="31">
          <cell r="C31" t="str">
            <v>R-409B</v>
          </cell>
          <cell r="D31">
            <v>0</v>
          </cell>
        </row>
        <row r="32">
          <cell r="C32" t="str">
            <v>R-410A</v>
          </cell>
          <cell r="D32">
            <v>1725</v>
          </cell>
        </row>
        <row r="33">
          <cell r="C33" t="str">
            <v>R-410B</v>
          </cell>
          <cell r="D33">
            <v>1832.5000000000002</v>
          </cell>
        </row>
        <row r="34">
          <cell r="C34" t="str">
            <v>R-411A</v>
          </cell>
          <cell r="D34">
            <v>15.4</v>
          </cell>
        </row>
        <row r="35">
          <cell r="C35" t="str">
            <v>R-411B</v>
          </cell>
          <cell r="D35">
            <v>4.2</v>
          </cell>
        </row>
        <row r="36">
          <cell r="C36" t="str">
            <v>R-412A</v>
          </cell>
          <cell r="D36">
            <v>350</v>
          </cell>
        </row>
        <row r="37">
          <cell r="C37" t="str">
            <v>R-413A</v>
          </cell>
          <cell r="D37">
            <v>1774</v>
          </cell>
        </row>
        <row r="38">
          <cell r="C38" t="str">
            <v>R-414A</v>
          </cell>
          <cell r="D38">
            <v>0</v>
          </cell>
        </row>
        <row r="39">
          <cell r="C39" t="str">
            <v>R-414B</v>
          </cell>
          <cell r="D39">
            <v>0</v>
          </cell>
        </row>
        <row r="40">
          <cell r="C40" t="str">
            <v>R-415A</v>
          </cell>
          <cell r="D40">
            <v>25</v>
          </cell>
        </row>
        <row r="41">
          <cell r="C41" t="str">
            <v>R-415B</v>
          </cell>
          <cell r="D41">
            <v>105</v>
          </cell>
        </row>
        <row r="42">
          <cell r="C42" t="str">
            <v>R-416A</v>
          </cell>
          <cell r="D42">
            <v>767</v>
          </cell>
        </row>
        <row r="43">
          <cell r="C43" t="str">
            <v>R-417A</v>
          </cell>
          <cell r="D43">
            <v>1954.8</v>
          </cell>
        </row>
        <row r="44">
          <cell r="C44" t="str">
            <v>R-418A</v>
          </cell>
          <cell r="D44">
            <v>3.5</v>
          </cell>
        </row>
        <row r="45">
          <cell r="C45" t="str">
            <v>R-419A</v>
          </cell>
          <cell r="D45">
            <v>2403</v>
          </cell>
        </row>
        <row r="46">
          <cell r="C46" t="str">
            <v>R-420A</v>
          </cell>
          <cell r="D46">
            <v>1144</v>
          </cell>
        </row>
        <row r="47">
          <cell r="C47" t="str">
            <v>R-500</v>
          </cell>
          <cell r="D47">
            <v>36.68</v>
          </cell>
        </row>
        <row r="48">
          <cell r="C48" t="str">
            <v>R-501</v>
          </cell>
          <cell r="D48">
            <v>0</v>
          </cell>
        </row>
        <row r="49">
          <cell r="C49" t="str">
            <v>R-502</v>
          </cell>
          <cell r="D49">
            <v>0</v>
          </cell>
        </row>
        <row r="50">
          <cell r="C50" t="str">
            <v>R-503</v>
          </cell>
          <cell r="D50">
            <v>4691.7</v>
          </cell>
        </row>
        <row r="51">
          <cell r="C51" t="str">
            <v>R-504</v>
          </cell>
          <cell r="D51">
            <v>313.3</v>
          </cell>
        </row>
        <row r="52">
          <cell r="C52" t="str">
            <v>R-505</v>
          </cell>
          <cell r="D52">
            <v>0</v>
          </cell>
        </row>
        <row r="53">
          <cell r="C53" t="str">
            <v>R-506</v>
          </cell>
          <cell r="D53">
            <v>0</v>
          </cell>
        </row>
        <row r="54">
          <cell r="C54" t="str">
            <v>R-507 or R-507A</v>
          </cell>
          <cell r="D54">
            <v>3300</v>
          </cell>
        </row>
        <row r="55">
          <cell r="C55" t="str">
            <v>R-508A</v>
          </cell>
          <cell r="D55">
            <v>10175</v>
          </cell>
        </row>
        <row r="56">
          <cell r="C56" t="str">
            <v>R-508B</v>
          </cell>
          <cell r="D56">
            <v>10350</v>
          </cell>
        </row>
        <row r="57">
          <cell r="C57" t="str">
            <v>R-509 or R-509A</v>
          </cell>
          <cell r="D57">
            <v>3920</v>
          </cell>
        </row>
        <row r="58">
          <cell r="C58" t="str">
            <v>PFC-218 (C3F8)</v>
          </cell>
          <cell r="D58">
            <v>7000</v>
          </cell>
        </row>
        <row r="59">
          <cell r="C59" t="str">
            <v>PFC-116 (C2F6)</v>
          </cell>
          <cell r="D59">
            <v>9200</v>
          </cell>
        </row>
        <row r="60">
          <cell r="C60" t="str">
            <v>PFC-14 (CF4)</v>
          </cell>
          <cell r="D60">
            <v>6500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epa.gov/cleanenergy/energy-and-you/how-cle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workbookViewId="0">
      <selection activeCell="D17" sqref="D17"/>
    </sheetView>
  </sheetViews>
  <sheetFormatPr baseColWidth="10" defaultColWidth="9.1640625" defaultRowHeight="13" x14ac:dyDescent="0.15"/>
  <cols>
    <col min="1" max="1" width="2" style="4" customWidth="1"/>
    <col min="2" max="2" width="5" style="1" customWidth="1"/>
    <col min="3" max="3" width="18.5" style="1" customWidth="1"/>
    <col min="4" max="4" width="16.6640625" style="1" customWidth="1"/>
    <col min="5" max="5" width="13.33203125" style="1" customWidth="1"/>
    <col min="6" max="6" width="5.5" style="5" customWidth="1"/>
    <col min="7" max="7" width="7.33203125" style="5" customWidth="1"/>
    <col min="8" max="8" width="10.83203125" style="5" customWidth="1"/>
    <col min="9" max="10" width="10" style="5" customWidth="1"/>
    <col min="11" max="11" width="8.6640625" style="5" customWidth="1"/>
    <col min="12" max="12" width="9.6640625" style="5" customWidth="1"/>
    <col min="13" max="13" width="11.5" style="5" customWidth="1"/>
    <col min="14" max="14" width="10" style="5" customWidth="1"/>
    <col min="15" max="15" width="8.6640625" style="5" customWidth="1"/>
    <col min="16" max="16" width="11" style="1" customWidth="1"/>
    <col min="17" max="17" width="9.1640625" style="1"/>
    <col min="18" max="18" width="14.83203125" style="1" customWidth="1"/>
    <col min="19" max="19" width="9.1640625" style="20"/>
    <col min="20" max="20" width="13.5" style="1" customWidth="1"/>
    <col min="21" max="21" width="19" style="1" customWidth="1"/>
    <col min="22" max="16384" width="9.1640625" style="1"/>
  </cols>
  <sheetData>
    <row r="1" spans="1:21" s="4" customFormat="1" ht="18" customHeight="1" x14ac:dyDescent="0.2">
      <c r="A1" s="524" t="s">
        <v>16</v>
      </c>
      <c r="B1" s="525"/>
      <c r="C1" s="525"/>
      <c r="D1" s="525"/>
      <c r="E1" s="525"/>
      <c r="F1" s="513" t="s">
        <v>666</v>
      </c>
      <c r="G1" s="514"/>
      <c r="H1" s="514"/>
      <c r="I1" s="514"/>
      <c r="J1" s="514"/>
      <c r="K1" s="514"/>
      <c r="L1" s="514"/>
      <c r="M1" s="514"/>
      <c r="N1" s="12"/>
      <c r="O1" s="12"/>
      <c r="S1" s="19"/>
    </row>
    <row r="2" spans="1:21" s="4" customFormat="1" ht="16" x14ac:dyDescent="0.2">
      <c r="A2" s="517" t="s">
        <v>757</v>
      </c>
      <c r="B2" s="517"/>
      <c r="C2" s="517"/>
      <c r="D2" s="517"/>
      <c r="E2" s="517"/>
      <c r="F2" s="517"/>
      <c r="G2" s="12"/>
      <c r="H2" s="12"/>
      <c r="I2" s="12"/>
      <c r="J2" s="12"/>
      <c r="K2" s="12"/>
      <c r="L2" s="12"/>
      <c r="M2" s="12"/>
      <c r="N2" s="12"/>
      <c r="O2" s="12"/>
      <c r="S2" s="19"/>
    </row>
    <row r="3" spans="1:21" s="4" customFormat="1" ht="16.5" customHeight="1" x14ac:dyDescent="0.2">
      <c r="A3" s="517" t="s">
        <v>755</v>
      </c>
      <c r="B3" s="517"/>
      <c r="C3" s="517"/>
      <c r="D3" s="517"/>
      <c r="E3" s="517"/>
      <c r="F3" s="466"/>
      <c r="G3" s="12"/>
      <c r="H3" s="12"/>
      <c r="I3" s="12"/>
      <c r="J3" s="12"/>
      <c r="K3" s="12"/>
      <c r="L3" s="12"/>
      <c r="M3" s="12"/>
      <c r="N3" s="12"/>
      <c r="O3" s="12"/>
      <c r="S3" s="19"/>
    </row>
    <row r="4" spans="1:21" s="4" customFormat="1" ht="56.25" customHeight="1" x14ac:dyDescent="0.2">
      <c r="A4" s="31"/>
      <c r="B4" s="518" t="s">
        <v>685</v>
      </c>
      <c r="C4" s="518"/>
      <c r="D4" s="518"/>
      <c r="E4" s="518"/>
      <c r="F4" s="519" t="s">
        <v>664</v>
      </c>
      <c r="G4" s="520"/>
      <c r="H4" s="520"/>
      <c r="I4" s="520"/>
      <c r="J4" s="520"/>
      <c r="K4" s="12"/>
      <c r="L4" s="12"/>
      <c r="M4" s="12"/>
      <c r="N4" s="12"/>
      <c r="O4" s="12"/>
      <c r="S4" s="19"/>
    </row>
    <row r="5" spans="1:21" s="12" customFormat="1" ht="14" x14ac:dyDescent="0.15">
      <c r="B5" s="7" t="s">
        <v>8</v>
      </c>
      <c r="C5" s="7" t="s">
        <v>9</v>
      </c>
      <c r="D5" s="7" t="s">
        <v>13</v>
      </c>
      <c r="E5" s="7" t="s">
        <v>38</v>
      </c>
      <c r="F5" s="7" t="s">
        <v>10</v>
      </c>
      <c r="G5" s="7" t="s">
        <v>14</v>
      </c>
      <c r="H5" s="7" t="s">
        <v>11</v>
      </c>
      <c r="I5" s="7" t="s">
        <v>56</v>
      </c>
      <c r="J5" s="7" t="s">
        <v>12</v>
      </c>
      <c r="K5" s="7" t="s">
        <v>15</v>
      </c>
      <c r="L5" s="7" t="s">
        <v>39</v>
      </c>
      <c r="M5" s="7" t="s">
        <v>40</v>
      </c>
      <c r="N5" s="7" t="s">
        <v>41</v>
      </c>
      <c r="O5" s="7" t="s">
        <v>57</v>
      </c>
      <c r="P5" s="7" t="s">
        <v>42</v>
      </c>
      <c r="Q5" s="7" t="s">
        <v>43</v>
      </c>
      <c r="R5" s="7" t="s">
        <v>44</v>
      </c>
      <c r="S5" s="7" t="s">
        <v>45</v>
      </c>
      <c r="T5" s="7" t="s">
        <v>58</v>
      </c>
      <c r="U5" s="7" t="s">
        <v>59</v>
      </c>
    </row>
    <row r="6" spans="1:21" x14ac:dyDescent="0.15">
      <c r="B6" s="527" t="s">
        <v>21</v>
      </c>
      <c r="C6" s="515" t="s">
        <v>17</v>
      </c>
      <c r="D6" s="515" t="s">
        <v>18</v>
      </c>
      <c r="E6" s="515" t="s">
        <v>19</v>
      </c>
      <c r="F6" s="515" t="s">
        <v>20</v>
      </c>
      <c r="G6" s="515" t="s">
        <v>77</v>
      </c>
      <c r="H6" s="515" t="s">
        <v>104</v>
      </c>
      <c r="I6" s="515"/>
      <c r="J6" s="515"/>
      <c r="K6" s="515"/>
      <c r="L6" s="515"/>
      <c r="M6" s="515"/>
      <c r="N6" s="515"/>
      <c r="O6" s="515"/>
      <c r="P6" s="515" t="s">
        <v>29</v>
      </c>
      <c r="Q6" s="515"/>
      <c r="R6" s="515"/>
      <c r="S6" s="526" t="s">
        <v>74</v>
      </c>
      <c r="T6" s="521" t="s">
        <v>76</v>
      </c>
      <c r="U6" s="515" t="s">
        <v>75</v>
      </c>
    </row>
    <row r="7" spans="1:21" ht="26" x14ac:dyDescent="0.15">
      <c r="B7" s="528"/>
      <c r="C7" s="516"/>
      <c r="D7" s="516"/>
      <c r="E7" s="516"/>
      <c r="F7" s="515"/>
      <c r="G7" s="515"/>
      <c r="H7" s="460" t="s">
        <v>22</v>
      </c>
      <c r="I7" s="460" t="s">
        <v>103</v>
      </c>
      <c r="J7" s="460" t="s">
        <v>24</v>
      </c>
      <c r="K7" s="460" t="s">
        <v>23</v>
      </c>
      <c r="L7" s="460" t="s">
        <v>26</v>
      </c>
      <c r="M7" s="460" t="s">
        <v>25</v>
      </c>
      <c r="N7" s="464" t="s">
        <v>27</v>
      </c>
      <c r="O7" s="460" t="s">
        <v>27</v>
      </c>
      <c r="P7" s="3" t="s">
        <v>30</v>
      </c>
      <c r="Q7" s="3" t="s">
        <v>31</v>
      </c>
      <c r="R7" s="3" t="s">
        <v>32</v>
      </c>
      <c r="S7" s="526"/>
      <c r="T7" s="522"/>
      <c r="U7" s="523"/>
    </row>
    <row r="8" spans="1:21" x14ac:dyDescent="0.15">
      <c r="B8" s="408">
        <v>1</v>
      </c>
      <c r="C8" s="506" t="s">
        <v>770</v>
      </c>
      <c r="D8" s="80"/>
      <c r="E8" s="506" t="s">
        <v>771</v>
      </c>
      <c r="F8" s="507" t="s">
        <v>101</v>
      </c>
      <c r="G8" s="79"/>
      <c r="H8" s="79" t="s">
        <v>50</v>
      </c>
      <c r="I8" s="79"/>
      <c r="J8" s="79"/>
      <c r="K8" s="79"/>
      <c r="L8" s="79"/>
      <c r="M8" s="79" t="s">
        <v>50</v>
      </c>
      <c r="N8" s="465"/>
      <c r="O8" s="79"/>
      <c r="P8" s="80"/>
      <c r="Q8" s="80"/>
      <c r="R8" s="80"/>
      <c r="S8" s="81">
        <v>1</v>
      </c>
      <c r="T8" s="82"/>
      <c r="U8" s="80"/>
    </row>
    <row r="9" spans="1:21" x14ac:dyDescent="0.15">
      <c r="B9" s="408">
        <v>2</v>
      </c>
      <c r="C9" s="80"/>
      <c r="D9" s="80"/>
      <c r="E9" s="80"/>
      <c r="F9" s="79"/>
      <c r="G9" s="79"/>
      <c r="H9" s="79"/>
      <c r="I9" s="79"/>
      <c r="J9" s="79"/>
      <c r="K9" s="79"/>
      <c r="L9" s="79"/>
      <c r="M9" s="79"/>
      <c r="N9" s="465"/>
      <c r="O9" s="79"/>
      <c r="P9" s="80"/>
      <c r="Q9" s="80"/>
      <c r="R9" s="80"/>
      <c r="S9" s="81">
        <v>4</v>
      </c>
      <c r="T9" s="82"/>
      <c r="U9" s="80"/>
    </row>
    <row r="10" spans="1:21" ht="11.25" customHeight="1" x14ac:dyDescent="0.15">
      <c r="B10" s="408">
        <v>3</v>
      </c>
      <c r="C10" s="80"/>
      <c r="D10" s="80"/>
      <c r="E10" s="80"/>
      <c r="F10" s="79"/>
      <c r="G10" s="79"/>
      <c r="H10" s="79"/>
      <c r="I10" s="79"/>
      <c r="J10" s="79"/>
      <c r="K10" s="79"/>
      <c r="L10" s="79"/>
      <c r="M10" s="79"/>
      <c r="N10" s="465"/>
      <c r="O10" s="79"/>
      <c r="P10" s="80"/>
      <c r="Q10" s="80"/>
      <c r="R10" s="80"/>
      <c r="S10" s="81">
        <v>4</v>
      </c>
      <c r="T10" s="82"/>
      <c r="U10" s="80"/>
    </row>
    <row r="11" spans="1:21" x14ac:dyDescent="0.15">
      <c r="B11" s="408">
        <v>4</v>
      </c>
      <c r="C11" s="80"/>
      <c r="D11" s="80"/>
      <c r="E11" s="80"/>
      <c r="F11" s="79"/>
      <c r="G11" s="79"/>
      <c r="H11" s="79"/>
      <c r="I11" s="79"/>
      <c r="J11" s="79"/>
      <c r="K11" s="79"/>
      <c r="L11" s="79"/>
      <c r="M11" s="79"/>
      <c r="N11" s="465"/>
      <c r="O11" s="79"/>
      <c r="P11" s="80"/>
      <c r="Q11" s="80"/>
      <c r="R11" s="80"/>
      <c r="S11" s="81">
        <v>4</v>
      </c>
      <c r="T11" s="82"/>
      <c r="U11" s="80"/>
    </row>
    <row r="12" spans="1:21" x14ac:dyDescent="0.15">
      <c r="B12" s="408">
        <v>5</v>
      </c>
      <c r="C12" s="80"/>
      <c r="D12" s="80"/>
      <c r="E12" s="80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0"/>
      <c r="R12" s="80"/>
      <c r="S12" s="81"/>
      <c r="T12" s="82"/>
      <c r="U12" s="80"/>
    </row>
    <row r="13" spans="1:21" x14ac:dyDescent="0.15">
      <c r="B13" s="408">
        <v>6</v>
      </c>
      <c r="C13" s="80"/>
      <c r="D13" s="80"/>
      <c r="E13" s="8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80"/>
      <c r="R13" s="80"/>
      <c r="S13" s="81"/>
      <c r="T13" s="82"/>
      <c r="U13" s="80"/>
    </row>
    <row r="14" spans="1:21" x14ac:dyDescent="0.15">
      <c r="B14" s="408">
        <v>7</v>
      </c>
      <c r="C14" s="80"/>
      <c r="D14" s="80"/>
      <c r="E14" s="80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0"/>
      <c r="R14" s="80"/>
      <c r="S14" s="81"/>
      <c r="T14" s="82"/>
      <c r="U14" s="80"/>
    </row>
    <row r="15" spans="1:21" x14ac:dyDescent="0.15">
      <c r="B15" s="408">
        <v>8</v>
      </c>
      <c r="C15" s="80"/>
      <c r="D15" s="80"/>
      <c r="E15" s="80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80"/>
      <c r="R15" s="80"/>
      <c r="S15" s="81"/>
      <c r="T15" s="82"/>
      <c r="U15" s="80"/>
    </row>
    <row r="16" spans="1:21" x14ac:dyDescent="0.15">
      <c r="B16" s="408">
        <v>9</v>
      </c>
      <c r="C16" s="80"/>
      <c r="D16" s="80"/>
      <c r="E16" s="80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80"/>
      <c r="R16" s="80"/>
      <c r="S16" s="81"/>
      <c r="T16" s="82"/>
      <c r="U16" s="80"/>
    </row>
    <row r="17" spans="2:21" x14ac:dyDescent="0.15">
      <c r="B17" s="408">
        <v>10</v>
      </c>
      <c r="C17" s="80"/>
      <c r="D17" s="80"/>
      <c r="E17" s="80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80"/>
      <c r="R17" s="80"/>
      <c r="S17" s="81"/>
      <c r="T17" s="82"/>
      <c r="U17" s="80"/>
    </row>
    <row r="19" spans="2:21" ht="14" x14ac:dyDescent="0.15">
      <c r="B19" s="444" t="s">
        <v>106</v>
      </c>
      <c r="C19" s="444" t="s">
        <v>121</v>
      </c>
    </row>
    <row r="20" spans="2:21" ht="14" x14ac:dyDescent="0.15">
      <c r="B20" s="445" t="s">
        <v>115</v>
      </c>
      <c r="C20" s="446">
        <v>1</v>
      </c>
      <c r="F20" s="510" t="s">
        <v>665</v>
      </c>
      <c r="G20" s="511"/>
      <c r="H20" s="511"/>
      <c r="I20" s="511"/>
      <c r="J20" s="511"/>
      <c r="K20" s="511"/>
    </row>
    <row r="21" spans="2:21" ht="14" x14ac:dyDescent="0.15">
      <c r="B21" s="445" t="s">
        <v>78</v>
      </c>
      <c r="C21" s="446">
        <v>21</v>
      </c>
      <c r="F21" s="511"/>
      <c r="G21" s="511"/>
      <c r="H21" s="511"/>
      <c r="I21" s="511"/>
      <c r="J21" s="511"/>
      <c r="K21" s="511"/>
    </row>
    <row r="22" spans="2:21" ht="14" x14ac:dyDescent="0.15">
      <c r="B22" s="445" t="s">
        <v>79</v>
      </c>
      <c r="C22" s="446">
        <v>310</v>
      </c>
      <c r="F22" s="511"/>
      <c r="G22" s="511"/>
      <c r="H22" s="511"/>
      <c r="I22" s="511"/>
      <c r="J22" s="511"/>
      <c r="K22" s="511"/>
    </row>
    <row r="23" spans="2:21" x14ac:dyDescent="0.15">
      <c r="F23" s="511"/>
      <c r="G23" s="511"/>
      <c r="H23" s="511"/>
      <c r="I23" s="511"/>
      <c r="J23" s="511"/>
      <c r="K23" s="511"/>
    </row>
    <row r="24" spans="2:21" x14ac:dyDescent="0.15">
      <c r="F24" s="511"/>
      <c r="G24" s="511"/>
      <c r="H24" s="511"/>
      <c r="I24" s="511"/>
      <c r="J24" s="511"/>
      <c r="K24" s="511"/>
    </row>
    <row r="26" spans="2:21" x14ac:dyDescent="0.15">
      <c r="D26" s="512" t="s">
        <v>684</v>
      </c>
      <c r="E26" s="512"/>
      <c r="F26" s="512"/>
      <c r="G26" s="512"/>
      <c r="H26" s="512"/>
      <c r="I26" s="512"/>
      <c r="J26" s="1"/>
    </row>
    <row r="27" spans="2:21" x14ac:dyDescent="0.15">
      <c r="D27" s="512"/>
      <c r="E27" s="512"/>
      <c r="F27" s="512"/>
      <c r="G27" s="512"/>
      <c r="H27" s="512"/>
      <c r="I27" s="512"/>
      <c r="J27" s="1"/>
    </row>
    <row r="28" spans="2:21" x14ac:dyDescent="0.15">
      <c r="D28" s="512"/>
      <c r="E28" s="512"/>
      <c r="F28" s="512"/>
      <c r="G28" s="512"/>
      <c r="H28" s="512"/>
      <c r="I28" s="512"/>
      <c r="J28" s="1"/>
    </row>
    <row r="29" spans="2:21" x14ac:dyDescent="0.15">
      <c r="D29" s="512"/>
      <c r="E29" s="512"/>
      <c r="F29" s="512"/>
      <c r="G29" s="512"/>
      <c r="H29" s="512"/>
      <c r="I29" s="512"/>
    </row>
    <row r="30" spans="2:21" x14ac:dyDescent="0.15">
      <c r="D30" s="512"/>
      <c r="E30" s="512"/>
      <c r="F30" s="512"/>
      <c r="G30" s="512"/>
      <c r="H30" s="512"/>
      <c r="I30" s="512"/>
    </row>
  </sheetData>
  <mergeCells count="19">
    <mergeCell ref="T6:T7"/>
    <mergeCell ref="U6:U7"/>
    <mergeCell ref="A1:E1"/>
    <mergeCell ref="A2:F2"/>
    <mergeCell ref="P6:R6"/>
    <mergeCell ref="S6:S7"/>
    <mergeCell ref="B6:B7"/>
    <mergeCell ref="H6:O6"/>
    <mergeCell ref="C6:C7"/>
    <mergeCell ref="F20:K24"/>
    <mergeCell ref="D26:I30"/>
    <mergeCell ref="F1:M1"/>
    <mergeCell ref="D6:D7"/>
    <mergeCell ref="E6:E7"/>
    <mergeCell ref="F6:F7"/>
    <mergeCell ref="A3:E3"/>
    <mergeCell ref="B4:E4"/>
    <mergeCell ref="F4:J4"/>
    <mergeCell ref="G6:G7"/>
  </mergeCells>
  <phoneticPr fontId="5" type="noConversion"/>
  <pageMargins left="0.25" right="0.25" top="1" bottom="1" header="0.5" footer="0.5"/>
  <pageSetup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7"/>
  <sheetViews>
    <sheetView workbookViewId="0">
      <selection activeCell="G1" sqref="G1"/>
    </sheetView>
  </sheetViews>
  <sheetFormatPr baseColWidth="10" defaultColWidth="8.83203125" defaultRowHeight="13" x14ac:dyDescent="0.15"/>
  <cols>
    <col min="2" max="2" width="13" customWidth="1"/>
    <col min="3" max="3" width="26.5" customWidth="1"/>
    <col min="4" max="6" width="9.1640625" hidden="1" customWidth="1"/>
    <col min="7" max="7" width="9.5" style="2" bestFit="1" customWidth="1"/>
    <col min="8" max="8" width="16.5" style="2" customWidth="1"/>
    <col min="9" max="9" width="10.5" style="2" bestFit="1" customWidth="1"/>
    <col min="15" max="15" width="12.33203125" customWidth="1"/>
  </cols>
  <sheetData>
    <row r="1" spans="1:21" ht="16" x14ac:dyDescent="0.2">
      <c r="A1" s="29" t="s">
        <v>330</v>
      </c>
    </row>
    <row r="2" spans="1:21" ht="18" x14ac:dyDescent="0.2">
      <c r="A2" s="503" t="s">
        <v>754</v>
      </c>
      <c r="M2" s="502" t="s">
        <v>753</v>
      </c>
      <c r="R2" s="463"/>
      <c r="S2" s="463"/>
      <c r="T2" s="463"/>
      <c r="U2" s="463"/>
    </row>
    <row r="3" spans="1:21" ht="16" x14ac:dyDescent="0.2">
      <c r="A3" s="503" t="s">
        <v>755</v>
      </c>
      <c r="R3" s="463"/>
      <c r="S3" s="463"/>
      <c r="T3" s="463"/>
      <c r="U3" s="463"/>
    </row>
    <row r="4" spans="1:21" ht="43.5" customHeight="1" x14ac:dyDescent="0.15">
      <c r="B4" s="760" t="s">
        <v>654</v>
      </c>
      <c r="C4" s="761"/>
      <c r="D4" s="761"/>
      <c r="E4" s="761"/>
      <c r="F4" s="761"/>
      <c r="G4" s="761"/>
      <c r="H4" s="761"/>
      <c r="I4" s="762"/>
      <c r="L4" s="766" t="s">
        <v>653</v>
      </c>
      <c r="M4" s="767"/>
      <c r="N4" s="767"/>
      <c r="O4" s="768"/>
      <c r="R4" s="755"/>
      <c r="S4" s="756"/>
      <c r="T4" s="756"/>
      <c r="U4" s="757"/>
    </row>
    <row r="5" spans="1:21" ht="50.25" customHeight="1" x14ac:dyDescent="0.15">
      <c r="B5" s="763" t="s">
        <v>332</v>
      </c>
      <c r="C5" s="763" t="s">
        <v>331</v>
      </c>
      <c r="D5" s="60" t="s">
        <v>115</v>
      </c>
      <c r="E5" s="60" t="s">
        <v>78</v>
      </c>
      <c r="F5" s="60" t="s">
        <v>79</v>
      </c>
      <c r="G5" s="60" t="s">
        <v>115</v>
      </c>
      <c r="H5" s="60" t="s">
        <v>78</v>
      </c>
      <c r="I5" s="60" t="s">
        <v>79</v>
      </c>
      <c r="L5" s="769" t="s">
        <v>20</v>
      </c>
      <c r="M5" s="770"/>
      <c r="N5" s="60" t="s">
        <v>78</v>
      </c>
      <c r="O5" s="60" t="s">
        <v>79</v>
      </c>
      <c r="R5" s="758"/>
      <c r="S5" s="757"/>
      <c r="T5" s="757"/>
      <c r="U5" s="757"/>
    </row>
    <row r="6" spans="1:21" ht="14" thickBot="1" x14ac:dyDescent="0.2">
      <c r="B6" s="765"/>
      <c r="C6" s="764"/>
      <c r="D6" s="55" t="s">
        <v>138</v>
      </c>
      <c r="E6" s="55" t="s">
        <v>139</v>
      </c>
      <c r="F6" s="55" t="s">
        <v>139</v>
      </c>
      <c r="G6" s="345" t="s">
        <v>138</v>
      </c>
      <c r="H6" s="345" t="s">
        <v>139</v>
      </c>
      <c r="I6" s="345" t="s">
        <v>139</v>
      </c>
      <c r="L6" s="443" t="s">
        <v>30</v>
      </c>
      <c r="M6" s="443" t="s">
        <v>512</v>
      </c>
      <c r="N6" s="55" t="s">
        <v>139</v>
      </c>
      <c r="O6" s="55" t="s">
        <v>139</v>
      </c>
      <c r="R6" s="755"/>
      <c r="S6" s="759"/>
      <c r="T6" s="759"/>
      <c r="U6" s="757"/>
    </row>
    <row r="7" spans="1:21" ht="14" thickTop="1" x14ac:dyDescent="0.15">
      <c r="B7" s="400" t="s">
        <v>140</v>
      </c>
      <c r="C7" s="400" t="s">
        <v>141</v>
      </c>
      <c r="D7" s="401">
        <v>1232.3599999999999</v>
      </c>
      <c r="E7" s="66">
        <v>25.6</v>
      </c>
      <c r="F7" s="66">
        <v>6.51</v>
      </c>
      <c r="G7" s="500">
        <v>1072.3</v>
      </c>
      <c r="H7" s="501">
        <v>77</v>
      </c>
      <c r="I7" s="501">
        <v>11</v>
      </c>
      <c r="L7" s="66" t="s">
        <v>513</v>
      </c>
      <c r="M7" s="66" t="s">
        <v>514</v>
      </c>
      <c r="N7" s="66">
        <v>24.66</v>
      </c>
      <c r="O7" s="66">
        <v>6.04</v>
      </c>
      <c r="R7" s="463"/>
      <c r="S7" s="463"/>
      <c r="T7" s="463"/>
      <c r="U7" s="463"/>
    </row>
    <row r="8" spans="1:21" x14ac:dyDescent="0.15">
      <c r="B8" s="66" t="s">
        <v>142</v>
      </c>
      <c r="C8" s="66" t="s">
        <v>143</v>
      </c>
      <c r="D8" s="66">
        <v>498.86</v>
      </c>
      <c r="E8" s="66">
        <v>20.75</v>
      </c>
      <c r="F8" s="66">
        <v>4.08</v>
      </c>
      <c r="G8" s="500">
        <v>503.1</v>
      </c>
      <c r="H8" s="501">
        <v>23</v>
      </c>
      <c r="I8" s="501">
        <v>4</v>
      </c>
      <c r="L8" s="66" t="s">
        <v>515</v>
      </c>
      <c r="M8" s="66" t="s">
        <v>516</v>
      </c>
      <c r="N8" s="66">
        <v>25.1</v>
      </c>
      <c r="O8" s="66">
        <v>23.08</v>
      </c>
      <c r="R8" s="463"/>
      <c r="S8" s="463"/>
      <c r="T8" s="463"/>
      <c r="U8" s="463"/>
    </row>
    <row r="9" spans="1:21" x14ac:dyDescent="0.15">
      <c r="B9" s="66" t="s">
        <v>145</v>
      </c>
      <c r="C9" s="66" t="s">
        <v>144</v>
      </c>
      <c r="D9" s="401">
        <v>1311.05</v>
      </c>
      <c r="E9" s="66">
        <v>17.45</v>
      </c>
      <c r="F9" s="66">
        <v>17.940000000000001</v>
      </c>
      <c r="G9" s="500">
        <v>1043.5999999999999</v>
      </c>
      <c r="H9" s="501">
        <v>79</v>
      </c>
      <c r="I9" s="501">
        <v>12</v>
      </c>
      <c r="L9" s="66" t="s">
        <v>517</v>
      </c>
      <c r="M9" s="66" t="s">
        <v>518</v>
      </c>
      <c r="N9" s="66">
        <v>31.98</v>
      </c>
      <c r="O9" s="66">
        <v>22.3</v>
      </c>
      <c r="R9" s="463"/>
      <c r="S9" s="463"/>
      <c r="T9" s="463"/>
      <c r="U9" s="463"/>
    </row>
    <row r="10" spans="1:21" x14ac:dyDescent="0.15">
      <c r="B10" s="66" t="s">
        <v>146</v>
      </c>
      <c r="C10" s="66" t="s">
        <v>147</v>
      </c>
      <c r="D10" s="66">
        <v>724.12</v>
      </c>
      <c r="E10" s="66">
        <v>30.24</v>
      </c>
      <c r="F10" s="66">
        <v>8.08</v>
      </c>
      <c r="G10" s="500">
        <v>527.9</v>
      </c>
      <c r="H10" s="501">
        <v>33</v>
      </c>
      <c r="I10" s="501">
        <v>4</v>
      </c>
      <c r="L10" s="66" t="s">
        <v>519</v>
      </c>
      <c r="M10" s="66" t="s">
        <v>520</v>
      </c>
      <c r="N10" s="66">
        <v>15.53</v>
      </c>
      <c r="O10" s="66">
        <v>15.93</v>
      </c>
    </row>
    <row r="11" spans="1:21" x14ac:dyDescent="0.15">
      <c r="B11" s="66" t="s">
        <v>148</v>
      </c>
      <c r="C11" s="66" t="s">
        <v>149</v>
      </c>
      <c r="D11" s="401">
        <v>1324.85</v>
      </c>
      <c r="E11" s="66">
        <v>18.649999999999999</v>
      </c>
      <c r="F11" s="66">
        <v>15.11</v>
      </c>
      <c r="G11" s="500">
        <v>1009.2</v>
      </c>
      <c r="H11" s="501">
        <v>76</v>
      </c>
      <c r="I11" s="501">
        <v>11</v>
      </c>
      <c r="L11" s="66" t="s">
        <v>521</v>
      </c>
      <c r="M11" s="66" t="s">
        <v>522</v>
      </c>
      <c r="N11" s="66">
        <v>30.6</v>
      </c>
      <c r="O11" s="66">
        <v>4.5</v>
      </c>
    </row>
    <row r="12" spans="1:21" x14ac:dyDescent="0.15">
      <c r="B12" s="66" t="s">
        <v>150</v>
      </c>
      <c r="C12" s="66" t="s">
        <v>151</v>
      </c>
      <c r="D12" s="401">
        <v>1318.57</v>
      </c>
      <c r="E12" s="66">
        <v>45.92</v>
      </c>
      <c r="F12" s="66">
        <v>16.940000000000001</v>
      </c>
      <c r="G12" s="500">
        <v>1011.7</v>
      </c>
      <c r="H12" s="501">
        <v>75</v>
      </c>
      <c r="I12" s="501">
        <v>10</v>
      </c>
      <c r="L12" s="66" t="s">
        <v>523</v>
      </c>
      <c r="M12" s="66" t="s">
        <v>524</v>
      </c>
      <c r="N12" s="66">
        <v>23.48</v>
      </c>
      <c r="O12" s="66">
        <v>29.26</v>
      </c>
    </row>
    <row r="13" spans="1:21" x14ac:dyDescent="0.15">
      <c r="B13" s="66" t="s">
        <v>152</v>
      </c>
      <c r="C13" s="66" t="s">
        <v>153</v>
      </c>
      <c r="D13" s="401">
        <v>1514.92</v>
      </c>
      <c r="E13" s="66">
        <v>314.68</v>
      </c>
      <c r="F13" s="66">
        <v>46.88</v>
      </c>
      <c r="G13" s="500">
        <v>1152</v>
      </c>
      <c r="H13" s="501">
        <v>95</v>
      </c>
      <c r="I13" s="501">
        <v>15</v>
      </c>
      <c r="L13" s="66" t="s">
        <v>525</v>
      </c>
      <c r="M13" s="66" t="s">
        <v>526</v>
      </c>
      <c r="N13" s="66">
        <v>67.790000000000006</v>
      </c>
      <c r="O13" s="66">
        <v>13.63</v>
      </c>
    </row>
    <row r="14" spans="1:21" x14ac:dyDescent="0.15">
      <c r="B14" s="66" t="s">
        <v>154</v>
      </c>
      <c r="C14" s="66" t="s">
        <v>155</v>
      </c>
      <c r="D14" s="401">
        <v>1811.98</v>
      </c>
      <c r="E14" s="66">
        <v>109.47</v>
      </c>
      <c r="F14" s="66">
        <v>23.62</v>
      </c>
      <c r="G14" s="500">
        <v>1662.9</v>
      </c>
      <c r="H14" s="501">
        <v>181</v>
      </c>
      <c r="I14" s="501">
        <v>28</v>
      </c>
      <c r="L14" s="66" t="s">
        <v>527</v>
      </c>
      <c r="M14" s="66" t="s">
        <v>528</v>
      </c>
      <c r="N14" s="66">
        <v>104.97</v>
      </c>
      <c r="O14" s="66">
        <v>21</v>
      </c>
    </row>
    <row r="15" spans="1:21" x14ac:dyDescent="0.15">
      <c r="B15" s="66" t="s">
        <v>156</v>
      </c>
      <c r="C15" s="66" t="s">
        <v>157</v>
      </c>
      <c r="D15" s="401">
        <v>1834.72</v>
      </c>
      <c r="E15" s="66">
        <v>27.59</v>
      </c>
      <c r="F15" s="66">
        <v>30.36</v>
      </c>
      <c r="G15" s="500">
        <v>1668.2</v>
      </c>
      <c r="H15" s="501">
        <v>156</v>
      </c>
      <c r="I15" s="501">
        <v>26</v>
      </c>
      <c r="L15" s="66" t="s">
        <v>529</v>
      </c>
      <c r="M15" s="66" t="s">
        <v>530</v>
      </c>
      <c r="N15" s="66">
        <v>36.49</v>
      </c>
      <c r="O15" s="66">
        <v>26.52</v>
      </c>
    </row>
    <row r="16" spans="1:21" x14ac:dyDescent="0.15">
      <c r="B16" s="66" t="s">
        <v>158</v>
      </c>
      <c r="C16" s="66" t="s">
        <v>159</v>
      </c>
      <c r="D16" s="401">
        <v>1821.84</v>
      </c>
      <c r="E16" s="402">
        <v>28</v>
      </c>
      <c r="F16" s="66">
        <v>30.71</v>
      </c>
      <c r="G16" s="500">
        <v>1238.8</v>
      </c>
      <c r="H16" s="501">
        <v>15</v>
      </c>
      <c r="I16" s="501">
        <v>29</v>
      </c>
      <c r="L16" s="66" t="s">
        <v>531</v>
      </c>
      <c r="M16" s="66" t="s">
        <v>532</v>
      </c>
      <c r="N16" s="66">
        <v>45.73</v>
      </c>
      <c r="O16" s="66">
        <v>17.68</v>
      </c>
    </row>
    <row r="17" spans="2:15" x14ac:dyDescent="0.15">
      <c r="B17" s="66" t="s">
        <v>160</v>
      </c>
      <c r="C17" s="66" t="s">
        <v>161</v>
      </c>
      <c r="D17" s="401">
        <v>927.68</v>
      </c>
      <c r="E17" s="66">
        <v>86.49</v>
      </c>
      <c r="F17" s="66">
        <v>17.010000000000002</v>
      </c>
      <c r="G17" s="500">
        <v>558.20000000000005</v>
      </c>
      <c r="H17" s="501">
        <v>90</v>
      </c>
      <c r="I17" s="501">
        <v>12</v>
      </c>
      <c r="L17" s="66" t="s">
        <v>533</v>
      </c>
      <c r="M17" s="66" t="s">
        <v>534</v>
      </c>
      <c r="N17" s="66">
        <v>22.02</v>
      </c>
      <c r="O17" s="66">
        <v>23.93</v>
      </c>
    </row>
    <row r="18" spans="2:15" x14ac:dyDescent="0.15">
      <c r="B18" s="66" t="s">
        <v>162</v>
      </c>
      <c r="C18" s="66" t="s">
        <v>163</v>
      </c>
      <c r="D18" s="401">
        <v>902.24</v>
      </c>
      <c r="E18" s="66">
        <v>19.13</v>
      </c>
      <c r="F18" s="402">
        <v>14.9</v>
      </c>
      <c r="G18" s="500">
        <v>651.20000000000005</v>
      </c>
      <c r="H18" s="501">
        <v>61</v>
      </c>
      <c r="I18" s="501">
        <v>9</v>
      </c>
      <c r="L18" s="66" t="s">
        <v>535</v>
      </c>
      <c r="M18" s="66" t="s">
        <v>536</v>
      </c>
      <c r="N18" s="66">
        <v>165.4</v>
      </c>
      <c r="O18" s="66">
        <v>29.96</v>
      </c>
    </row>
    <row r="19" spans="2:15" x14ac:dyDescent="0.15">
      <c r="B19" s="66" t="s">
        <v>164</v>
      </c>
      <c r="C19" s="66" t="s">
        <v>165</v>
      </c>
      <c r="D19" s="401">
        <v>815.45</v>
      </c>
      <c r="E19" s="66">
        <v>36.020000000000003</v>
      </c>
      <c r="F19" s="402">
        <v>5.46</v>
      </c>
      <c r="G19" s="500">
        <v>635.79999999999995</v>
      </c>
      <c r="H19" s="501">
        <v>22</v>
      </c>
      <c r="I19" s="501">
        <v>3</v>
      </c>
      <c r="L19" s="66" t="s">
        <v>537</v>
      </c>
      <c r="M19" s="66" t="s">
        <v>538</v>
      </c>
      <c r="N19" s="66">
        <v>22.38</v>
      </c>
      <c r="O19" s="66">
        <v>31.62</v>
      </c>
    </row>
    <row r="20" spans="2:15" x14ac:dyDescent="0.15">
      <c r="B20" s="66" t="s">
        <v>166</v>
      </c>
      <c r="C20" s="66" t="s">
        <v>167</v>
      </c>
      <c r="D20" s="401">
        <v>1536.8</v>
      </c>
      <c r="E20" s="66">
        <v>115.41</v>
      </c>
      <c r="F20" s="66">
        <v>18.09</v>
      </c>
      <c r="G20" s="500">
        <v>1178.3</v>
      </c>
      <c r="H20" s="501">
        <v>126</v>
      </c>
      <c r="I20" s="501">
        <v>16</v>
      </c>
      <c r="L20" s="66" t="s">
        <v>539</v>
      </c>
      <c r="M20" s="66" t="s">
        <v>540</v>
      </c>
      <c r="N20" s="66">
        <v>19.16</v>
      </c>
      <c r="O20" s="66">
        <v>3.44</v>
      </c>
    </row>
    <row r="21" spans="2:15" x14ac:dyDescent="0.15">
      <c r="B21" s="66" t="s">
        <v>168</v>
      </c>
      <c r="C21" s="66" t="s">
        <v>169</v>
      </c>
      <c r="D21" s="401">
        <v>720.8</v>
      </c>
      <c r="E21" s="66">
        <v>24.82</v>
      </c>
      <c r="F21" s="66">
        <v>11.19</v>
      </c>
      <c r="G21" s="500">
        <v>294.7</v>
      </c>
      <c r="H21" s="501">
        <v>21</v>
      </c>
      <c r="I21" s="501">
        <v>3</v>
      </c>
      <c r="L21" s="66" t="s">
        <v>541</v>
      </c>
      <c r="M21" s="66" t="s">
        <v>542</v>
      </c>
      <c r="N21" s="66">
        <v>13.15</v>
      </c>
      <c r="O21" s="66">
        <v>18.5</v>
      </c>
    </row>
    <row r="22" spans="2:15" x14ac:dyDescent="0.15">
      <c r="B22" s="66" t="s">
        <v>170</v>
      </c>
      <c r="C22" s="66" t="s">
        <v>171</v>
      </c>
      <c r="D22" s="401">
        <v>1139.07</v>
      </c>
      <c r="E22" s="66">
        <v>30.27</v>
      </c>
      <c r="F22" s="66">
        <v>18.71</v>
      </c>
      <c r="G22" s="500">
        <v>758.2</v>
      </c>
      <c r="H22" s="501">
        <v>50</v>
      </c>
      <c r="I22" s="501">
        <v>9</v>
      </c>
      <c r="L22" s="66" t="s">
        <v>539</v>
      </c>
      <c r="M22" s="66" t="s">
        <v>543</v>
      </c>
      <c r="N22" s="66">
        <v>24.54</v>
      </c>
      <c r="O22" s="66">
        <v>34.76</v>
      </c>
    </row>
    <row r="23" spans="2:15" x14ac:dyDescent="0.15">
      <c r="B23" s="66" t="s">
        <v>172</v>
      </c>
      <c r="C23" s="66" t="s">
        <v>173</v>
      </c>
      <c r="D23" s="401">
        <v>1563.28</v>
      </c>
      <c r="E23" s="66">
        <v>33.93</v>
      </c>
      <c r="F23" s="66">
        <v>27.71</v>
      </c>
      <c r="G23" s="500">
        <v>1272</v>
      </c>
      <c r="H23" s="501">
        <v>67</v>
      </c>
      <c r="I23" s="501">
        <v>18</v>
      </c>
      <c r="L23" s="66" t="s">
        <v>544</v>
      </c>
      <c r="M23" s="66" t="s">
        <v>545</v>
      </c>
      <c r="N23" s="66">
        <v>23.25</v>
      </c>
      <c r="O23" s="66">
        <v>31.31</v>
      </c>
    </row>
    <row r="24" spans="2:15" x14ac:dyDescent="0.15">
      <c r="B24" s="66" t="s">
        <v>175</v>
      </c>
      <c r="C24" s="66" t="s">
        <v>174</v>
      </c>
      <c r="D24" s="403">
        <v>1537.82</v>
      </c>
      <c r="E24" s="66">
        <v>18.23</v>
      </c>
      <c r="F24" s="66">
        <v>25.71</v>
      </c>
      <c r="G24" s="500">
        <v>1243.4000000000001</v>
      </c>
      <c r="H24" s="501">
        <v>108</v>
      </c>
      <c r="I24" s="501">
        <v>19</v>
      </c>
      <c r="L24" s="66" t="s">
        <v>546</v>
      </c>
      <c r="M24" s="66" t="s">
        <v>547</v>
      </c>
      <c r="N24" s="66">
        <v>24.13</v>
      </c>
      <c r="O24" s="66">
        <v>34.909999999999997</v>
      </c>
    </row>
    <row r="25" spans="2:15" x14ac:dyDescent="0.15">
      <c r="B25" s="66" t="s">
        <v>176</v>
      </c>
      <c r="C25" s="66" t="s">
        <v>177</v>
      </c>
      <c r="D25" s="401">
        <v>1883.08</v>
      </c>
      <c r="E25" s="66">
        <v>22.88</v>
      </c>
      <c r="F25" s="66">
        <v>28.75</v>
      </c>
      <c r="G25" s="500">
        <v>1367.8</v>
      </c>
      <c r="H25" s="501">
        <v>137</v>
      </c>
      <c r="I25" s="501">
        <v>20</v>
      </c>
      <c r="L25" s="66" t="s">
        <v>548</v>
      </c>
      <c r="M25" s="66" t="s">
        <v>549</v>
      </c>
      <c r="N25" s="66">
        <v>25.45</v>
      </c>
      <c r="O25" s="66">
        <v>13.42</v>
      </c>
    </row>
    <row r="26" spans="2:15" x14ac:dyDescent="0.15">
      <c r="B26" s="66" t="s">
        <v>178</v>
      </c>
      <c r="C26" s="66" t="s">
        <v>179</v>
      </c>
      <c r="D26" s="401">
        <v>1960.94</v>
      </c>
      <c r="E26" s="66">
        <v>23.82</v>
      </c>
      <c r="F26" s="66">
        <v>32.090000000000003</v>
      </c>
      <c r="G26" s="500">
        <v>1412.4</v>
      </c>
      <c r="H26" s="501">
        <v>149</v>
      </c>
      <c r="I26" s="501">
        <v>22</v>
      </c>
      <c r="L26" s="66" t="s">
        <v>550</v>
      </c>
      <c r="M26" s="66" t="s">
        <v>551</v>
      </c>
      <c r="N26" s="66">
        <v>68.41</v>
      </c>
      <c r="O26" s="66">
        <v>17.23</v>
      </c>
    </row>
    <row r="27" spans="2:15" x14ac:dyDescent="0.15">
      <c r="B27" s="66" t="s">
        <v>180</v>
      </c>
      <c r="C27" s="66" t="s">
        <v>181</v>
      </c>
      <c r="D27" s="401">
        <v>1658.14</v>
      </c>
      <c r="E27" s="66">
        <v>24.98</v>
      </c>
      <c r="F27" s="66">
        <v>22.61</v>
      </c>
      <c r="G27" s="500">
        <v>1248.3</v>
      </c>
      <c r="H27" s="501">
        <v>95</v>
      </c>
      <c r="I27" s="501">
        <v>15</v>
      </c>
      <c r="L27" s="66" t="s">
        <v>552</v>
      </c>
      <c r="M27" s="66" t="s">
        <v>553</v>
      </c>
      <c r="N27" s="66">
        <v>34.58</v>
      </c>
      <c r="O27" s="66">
        <v>22.73</v>
      </c>
    </row>
    <row r="28" spans="2:15" x14ac:dyDescent="0.15">
      <c r="B28" s="66" t="s">
        <v>182</v>
      </c>
      <c r="C28" s="66" t="s">
        <v>183</v>
      </c>
      <c r="D28" s="401">
        <v>1019.74</v>
      </c>
      <c r="E28" s="66">
        <v>24.31</v>
      </c>
      <c r="F28" s="66">
        <v>11.71</v>
      </c>
      <c r="G28" s="500">
        <v>839</v>
      </c>
      <c r="H28" s="501">
        <v>50</v>
      </c>
      <c r="I28" s="501">
        <v>7</v>
      </c>
      <c r="L28" s="66" t="s">
        <v>554</v>
      </c>
      <c r="M28" s="66" t="s">
        <v>555</v>
      </c>
      <c r="N28" s="66">
        <v>229.01</v>
      </c>
      <c r="O28" s="66">
        <v>32.49</v>
      </c>
    </row>
    <row r="29" spans="2:15" x14ac:dyDescent="0.15">
      <c r="B29" s="66" t="s">
        <v>184</v>
      </c>
      <c r="C29" s="66" t="s">
        <v>185</v>
      </c>
      <c r="D29" s="401">
        <v>1830.51</v>
      </c>
      <c r="E29" s="66">
        <v>21.15</v>
      </c>
      <c r="F29" s="402">
        <v>30.5</v>
      </c>
      <c r="G29" s="500">
        <v>1612</v>
      </c>
      <c r="H29" s="501">
        <v>82</v>
      </c>
      <c r="I29" s="501">
        <v>26</v>
      </c>
      <c r="L29" s="66" t="s">
        <v>556</v>
      </c>
      <c r="M29" s="66" t="s">
        <v>557</v>
      </c>
      <c r="N29" s="66">
        <v>29.65</v>
      </c>
      <c r="O29" s="66">
        <v>23.65</v>
      </c>
    </row>
    <row r="30" spans="2:15" x14ac:dyDescent="0.15">
      <c r="B30" s="66" t="s">
        <v>186</v>
      </c>
      <c r="C30" s="66" t="s">
        <v>187</v>
      </c>
      <c r="D30" s="401">
        <v>1489.54</v>
      </c>
      <c r="E30" s="66">
        <v>26.27</v>
      </c>
      <c r="F30" s="66">
        <v>25.47</v>
      </c>
      <c r="G30" s="500">
        <v>1089.4000000000001</v>
      </c>
      <c r="H30" s="501">
        <v>87</v>
      </c>
      <c r="I30" s="501">
        <v>13</v>
      </c>
      <c r="L30" s="66" t="s">
        <v>558</v>
      </c>
      <c r="M30" s="66" t="s">
        <v>559</v>
      </c>
      <c r="N30" s="66">
        <v>38.72</v>
      </c>
      <c r="O30" s="66">
        <v>28.49</v>
      </c>
    </row>
    <row r="31" spans="2:15" x14ac:dyDescent="0.15">
      <c r="B31" s="66" t="s">
        <v>188</v>
      </c>
      <c r="C31" s="66" t="s">
        <v>189</v>
      </c>
      <c r="D31" s="401">
        <v>1510.44</v>
      </c>
      <c r="E31" s="66">
        <v>20.05</v>
      </c>
      <c r="F31" s="66">
        <v>25.64</v>
      </c>
      <c r="G31" s="500">
        <v>1185.4000000000001</v>
      </c>
      <c r="H31" s="501">
        <v>93</v>
      </c>
      <c r="I31" s="501">
        <v>17</v>
      </c>
      <c r="L31" s="66" t="s">
        <v>560</v>
      </c>
      <c r="M31" s="66" t="s">
        <v>561</v>
      </c>
      <c r="N31" s="66">
        <v>21.31</v>
      </c>
      <c r="O31" s="66">
        <v>30.71</v>
      </c>
    </row>
    <row r="32" spans="2:15" x14ac:dyDescent="0.15">
      <c r="B32" s="66" t="s">
        <v>190</v>
      </c>
      <c r="C32" s="66" t="s">
        <v>191</v>
      </c>
      <c r="D32" s="401">
        <v>1134.8800000000001</v>
      </c>
      <c r="E32" s="66">
        <v>23.77</v>
      </c>
      <c r="F32" s="66">
        <v>19.79</v>
      </c>
      <c r="G32" s="500">
        <v>805.3</v>
      </c>
      <c r="H32" s="501">
        <v>87</v>
      </c>
      <c r="I32" s="501">
        <v>11</v>
      </c>
      <c r="L32" s="66" t="s">
        <v>562</v>
      </c>
      <c r="M32" s="66" t="s">
        <v>563</v>
      </c>
      <c r="N32" s="66">
        <v>26.49</v>
      </c>
      <c r="O32" s="66">
        <v>17.420000000000002</v>
      </c>
    </row>
    <row r="33" spans="2:15" x14ac:dyDescent="0.15">
      <c r="B33" s="66" t="s">
        <v>192</v>
      </c>
      <c r="C33" s="66"/>
      <c r="D33" s="401">
        <v>1329.35</v>
      </c>
      <c r="E33" s="66">
        <v>27.27</v>
      </c>
      <c r="F33" s="402">
        <v>20.6</v>
      </c>
      <c r="G33" s="500">
        <v>1891.57</v>
      </c>
      <c r="H33" s="501">
        <v>75.91</v>
      </c>
      <c r="I33" s="501">
        <v>17.13</v>
      </c>
      <c r="L33" s="66" t="s">
        <v>564</v>
      </c>
      <c r="M33" s="66" t="s">
        <v>565</v>
      </c>
      <c r="N33" s="66">
        <v>19.73</v>
      </c>
      <c r="O33" s="66">
        <v>27.2</v>
      </c>
    </row>
    <row r="34" spans="2:15" x14ac:dyDescent="0.15">
      <c r="L34" s="66" t="s">
        <v>566</v>
      </c>
      <c r="M34" s="66" t="s">
        <v>101</v>
      </c>
      <c r="N34" s="66">
        <v>19.82</v>
      </c>
      <c r="O34" s="66">
        <v>21.32</v>
      </c>
    </row>
    <row r="35" spans="2:15" x14ac:dyDescent="0.15">
      <c r="L35" s="66" t="s">
        <v>567</v>
      </c>
      <c r="M35" s="66" t="s">
        <v>568</v>
      </c>
      <c r="N35" s="66">
        <v>25.1</v>
      </c>
      <c r="O35" s="66">
        <v>37.35</v>
      </c>
    </row>
    <row r="36" spans="2:15" x14ac:dyDescent="0.15">
      <c r="L36" s="66" t="s">
        <v>569</v>
      </c>
      <c r="M36" s="66" t="s">
        <v>570</v>
      </c>
      <c r="N36" s="66">
        <v>18.579999999999998</v>
      </c>
      <c r="O36" s="66">
        <v>26.69</v>
      </c>
    </row>
    <row r="37" spans="2:15" x14ac:dyDescent="0.15">
      <c r="L37" s="66" t="s">
        <v>571</v>
      </c>
      <c r="M37" s="66" t="s">
        <v>572</v>
      </c>
      <c r="N37" s="66">
        <v>61</v>
      </c>
      <c r="O37" s="66">
        <v>15.01</v>
      </c>
    </row>
    <row r="38" spans="2:15" x14ac:dyDescent="0.15">
      <c r="L38" s="66" t="s">
        <v>573</v>
      </c>
      <c r="M38" s="66" t="s">
        <v>574</v>
      </c>
      <c r="N38" s="66">
        <v>30.22</v>
      </c>
      <c r="O38" s="66">
        <v>10.79</v>
      </c>
    </row>
    <row r="39" spans="2:15" x14ac:dyDescent="0.15">
      <c r="L39" s="66" t="s">
        <v>575</v>
      </c>
      <c r="M39" s="66" t="s">
        <v>576</v>
      </c>
      <c r="N39" s="66">
        <v>23.28</v>
      </c>
      <c r="O39" s="66">
        <v>30.53</v>
      </c>
    </row>
    <row r="40" spans="2:15" x14ac:dyDescent="0.15">
      <c r="L40" s="66" t="s">
        <v>577</v>
      </c>
      <c r="M40" s="66" t="s">
        <v>578</v>
      </c>
      <c r="N40" s="66">
        <v>20.02</v>
      </c>
      <c r="O40" s="66">
        <v>17.850000000000001</v>
      </c>
    </row>
    <row r="41" spans="2:15" x14ac:dyDescent="0.15">
      <c r="L41" s="66" t="s">
        <v>579</v>
      </c>
      <c r="M41" s="66" t="s">
        <v>580</v>
      </c>
      <c r="N41" s="66">
        <v>36.96</v>
      </c>
      <c r="O41" s="66">
        <v>10.41</v>
      </c>
    </row>
    <row r="42" spans="2:15" x14ac:dyDescent="0.15">
      <c r="L42" s="66" t="s">
        <v>581</v>
      </c>
      <c r="M42" s="66" t="s">
        <v>582</v>
      </c>
      <c r="N42" s="66">
        <v>20.99</v>
      </c>
      <c r="O42" s="66">
        <v>29.9</v>
      </c>
    </row>
    <row r="43" spans="2:15" x14ac:dyDescent="0.15">
      <c r="L43" s="66" t="s">
        <v>583</v>
      </c>
      <c r="M43" s="66" t="s">
        <v>584</v>
      </c>
      <c r="N43" s="66">
        <v>21.67</v>
      </c>
      <c r="O43" s="66">
        <v>20.440000000000001</v>
      </c>
    </row>
    <row r="44" spans="2:15" x14ac:dyDescent="0.15">
      <c r="L44" s="66" t="s">
        <v>585</v>
      </c>
      <c r="M44" s="66" t="s">
        <v>586</v>
      </c>
      <c r="N44" s="66">
        <v>16.97</v>
      </c>
      <c r="O44" s="66">
        <v>4.8</v>
      </c>
    </row>
    <row r="45" spans="2:15" x14ac:dyDescent="0.15">
      <c r="L45" s="66" t="s">
        <v>587</v>
      </c>
      <c r="M45" s="66" t="s">
        <v>100</v>
      </c>
      <c r="N45" s="66">
        <v>25.42</v>
      </c>
      <c r="O45" s="66">
        <v>20.94</v>
      </c>
    </row>
    <row r="46" spans="2:15" x14ac:dyDescent="0.15">
      <c r="L46" s="66" t="s">
        <v>588</v>
      </c>
      <c r="M46" s="66" t="s">
        <v>589</v>
      </c>
      <c r="N46" s="66">
        <v>19.21</v>
      </c>
      <c r="O46" s="66">
        <v>1.98</v>
      </c>
    </row>
    <row r="47" spans="2:15" x14ac:dyDescent="0.15">
      <c r="L47" s="66" t="s">
        <v>590</v>
      </c>
      <c r="M47" s="66" t="s">
        <v>102</v>
      </c>
      <c r="N47" s="66">
        <v>14.92</v>
      </c>
      <c r="O47" s="66">
        <v>15.17</v>
      </c>
    </row>
    <row r="48" spans="2:15" x14ac:dyDescent="0.15">
      <c r="L48" s="66" t="s">
        <v>591</v>
      </c>
      <c r="M48" s="66" t="s">
        <v>592</v>
      </c>
      <c r="N48" s="66">
        <v>13.96</v>
      </c>
      <c r="O48" s="66">
        <v>19.03</v>
      </c>
    </row>
    <row r="49" spans="12:15" x14ac:dyDescent="0.15">
      <c r="L49" s="66" t="s">
        <v>593</v>
      </c>
      <c r="M49" s="66" t="s">
        <v>594</v>
      </c>
      <c r="N49" s="66">
        <v>16.41</v>
      </c>
      <c r="O49" s="66">
        <v>21.69</v>
      </c>
    </row>
    <row r="50" spans="12:15" x14ac:dyDescent="0.15">
      <c r="L50" s="66" t="s">
        <v>595</v>
      </c>
      <c r="M50" s="66" t="s">
        <v>596</v>
      </c>
      <c r="N50" s="66">
        <v>19.75</v>
      </c>
      <c r="O50" s="66">
        <v>15.35</v>
      </c>
    </row>
    <row r="51" spans="12:15" x14ac:dyDescent="0.15">
      <c r="L51" s="66" t="s">
        <v>597</v>
      </c>
      <c r="M51" s="66" t="s">
        <v>598</v>
      </c>
      <c r="N51" s="66">
        <v>24.14</v>
      </c>
      <c r="O51" s="66">
        <v>35.19</v>
      </c>
    </row>
    <row r="52" spans="12:15" x14ac:dyDescent="0.15">
      <c r="L52" s="66" t="s">
        <v>599</v>
      </c>
      <c r="M52" s="66" t="s">
        <v>600</v>
      </c>
      <c r="N52" s="66">
        <v>40.99</v>
      </c>
      <c r="O52" s="66">
        <v>21.27</v>
      </c>
    </row>
    <row r="53" spans="12:15" x14ac:dyDescent="0.15">
      <c r="L53" s="66" t="s">
        <v>601</v>
      </c>
      <c r="M53" s="66" t="s">
        <v>602</v>
      </c>
      <c r="N53" s="66">
        <v>88.61</v>
      </c>
      <c r="O53" s="66">
        <v>11.83</v>
      </c>
    </row>
    <row r="54" spans="12:15" x14ac:dyDescent="0.15">
      <c r="L54" s="66" t="s">
        <v>603</v>
      </c>
      <c r="M54" s="66" t="s">
        <v>604</v>
      </c>
      <c r="N54" s="66">
        <v>16.399999999999999</v>
      </c>
      <c r="O54" s="66">
        <v>6.04</v>
      </c>
    </row>
    <row r="55" spans="12:15" x14ac:dyDescent="0.15">
      <c r="L55" s="66" t="s">
        <v>605</v>
      </c>
      <c r="M55" s="66" t="s">
        <v>606</v>
      </c>
      <c r="N55" s="66">
        <v>25.52</v>
      </c>
      <c r="O55" s="66">
        <v>28.28</v>
      </c>
    </row>
    <row r="56" spans="12:15" x14ac:dyDescent="0.15">
      <c r="L56" s="66" t="s">
        <v>607</v>
      </c>
      <c r="M56" s="66" t="s">
        <v>608</v>
      </c>
      <c r="N56" s="66">
        <v>21.89</v>
      </c>
      <c r="O56" s="66">
        <v>32.72</v>
      </c>
    </row>
    <row r="57" spans="12:15" x14ac:dyDescent="0.15">
      <c r="L57" s="66" t="s">
        <v>609</v>
      </c>
      <c r="M57" s="66" t="s">
        <v>610</v>
      </c>
      <c r="N57" s="66">
        <v>25.68</v>
      </c>
      <c r="O57" s="66">
        <v>37.24</v>
      </c>
    </row>
  </sheetData>
  <mergeCells count="8">
    <mergeCell ref="R4:U4"/>
    <mergeCell ref="R5:U5"/>
    <mergeCell ref="R6:U6"/>
    <mergeCell ref="B4:I4"/>
    <mergeCell ref="C5:C6"/>
    <mergeCell ref="B5:B6"/>
    <mergeCell ref="L4:O4"/>
    <mergeCell ref="L5:M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72"/>
  <sheetViews>
    <sheetView topLeftCell="A47" workbookViewId="0">
      <selection activeCell="B56" sqref="B56"/>
    </sheetView>
  </sheetViews>
  <sheetFormatPr baseColWidth="10" defaultColWidth="8.83203125" defaultRowHeight="13" x14ac:dyDescent="0.15"/>
  <cols>
    <col min="1" max="1" width="9.1640625" style="197" customWidth="1"/>
    <col min="2" max="2" width="17.5" style="197" customWidth="1"/>
    <col min="3" max="3" width="14.1640625" style="197" customWidth="1"/>
    <col min="4" max="4" width="14.33203125" style="197" customWidth="1"/>
    <col min="5" max="5" width="12.5" style="197" customWidth="1"/>
    <col min="6" max="6" width="11.5" style="197" customWidth="1"/>
    <col min="7" max="7" width="11" style="203" customWidth="1"/>
    <col min="8" max="8" width="10.5" style="203" customWidth="1"/>
    <col min="9" max="9" width="14.5" style="203" customWidth="1"/>
    <col min="10" max="10" width="11.5" style="203" customWidth="1"/>
    <col min="11" max="11" width="10.5" style="203" customWidth="1"/>
    <col min="12" max="12" width="13" style="203" customWidth="1"/>
    <col min="13" max="13" width="15" style="203" customWidth="1"/>
    <col min="14" max="14" width="8.83203125" style="346" customWidth="1"/>
    <col min="15" max="15" width="21.5" style="346" customWidth="1"/>
    <col min="16" max="32" width="8.83203125" style="346" customWidth="1"/>
    <col min="33" max="16384" width="8.83203125" style="197"/>
  </cols>
  <sheetData>
    <row r="1" spans="2:32" ht="16" x14ac:dyDescent="0.2">
      <c r="B1" s="790" t="s">
        <v>195</v>
      </c>
      <c r="C1" s="790"/>
      <c r="D1" s="790"/>
      <c r="E1" s="790"/>
      <c r="F1" s="790"/>
      <c r="G1" s="572" t="s">
        <v>194</v>
      </c>
      <c r="H1" s="793"/>
      <c r="I1" s="793"/>
      <c r="J1" s="793"/>
      <c r="K1" s="793"/>
      <c r="L1" s="793"/>
      <c r="M1" s="793"/>
      <c r="N1" s="793"/>
      <c r="O1" s="793"/>
    </row>
    <row r="2" spans="2:32" s="347" customFormat="1" ht="16" x14ac:dyDescent="0.2">
      <c r="B2" s="504" t="s">
        <v>769</v>
      </c>
      <c r="G2" s="348"/>
      <c r="H2" s="348"/>
      <c r="I2" s="348"/>
      <c r="J2" s="348"/>
      <c r="K2" s="348"/>
      <c r="L2" s="348"/>
      <c r="M2" s="348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</row>
    <row r="3" spans="2:32" ht="16" x14ac:dyDescent="0.2">
      <c r="B3" s="350" t="s">
        <v>742</v>
      </c>
      <c r="C3" s="351"/>
      <c r="D3" s="351"/>
      <c r="E3" s="351"/>
      <c r="F3" s="351"/>
      <c r="G3" s="352"/>
      <c r="H3" s="352"/>
    </row>
    <row r="4" spans="2:32" ht="12.75" customHeight="1" x14ac:dyDescent="0.2">
      <c r="B4" s="353"/>
      <c r="C4" s="354"/>
    </row>
    <row r="5" spans="2:32" ht="12.75" customHeight="1" x14ac:dyDescent="0.15">
      <c r="B5" s="794" t="s">
        <v>351</v>
      </c>
      <c r="C5" s="794"/>
      <c r="E5" s="691" t="s">
        <v>365</v>
      </c>
      <c r="F5" s="692"/>
      <c r="H5" s="795" t="s">
        <v>375</v>
      </c>
      <c r="I5" s="693"/>
      <c r="J5" s="693"/>
      <c r="K5" s="693"/>
      <c r="L5" s="693"/>
      <c r="M5" s="694"/>
    </row>
    <row r="6" spans="2:32" ht="12.75" customHeight="1" x14ac:dyDescent="0.15">
      <c r="B6" s="355" t="s">
        <v>128</v>
      </c>
      <c r="C6" s="356" t="s">
        <v>126</v>
      </c>
      <c r="E6" s="104" t="s">
        <v>360</v>
      </c>
      <c r="F6" s="105" t="s">
        <v>359</v>
      </c>
      <c r="H6" s="357" t="s">
        <v>75</v>
      </c>
      <c r="I6" s="796" t="s">
        <v>368</v>
      </c>
      <c r="J6" s="700"/>
      <c r="K6" s="700"/>
      <c r="L6" s="700"/>
      <c r="M6" s="701"/>
    </row>
    <row r="7" spans="2:32" ht="12.75" customHeight="1" x14ac:dyDescent="0.2">
      <c r="B7" s="358">
        <f>'1. Facility'!B8</f>
        <v>1</v>
      </c>
      <c r="C7" s="359">
        <f>IF(M37&gt;0, M37, "")</f>
        <v>73.856250000000003</v>
      </c>
      <c r="E7" s="104" t="s">
        <v>361</v>
      </c>
      <c r="F7" s="106" t="s">
        <v>362</v>
      </c>
      <c r="H7" s="360" t="s">
        <v>354</v>
      </c>
      <c r="I7" s="783" t="s">
        <v>376</v>
      </c>
      <c r="J7" s="784"/>
      <c r="K7" s="784"/>
      <c r="L7" s="784"/>
      <c r="M7" s="785"/>
    </row>
    <row r="8" spans="2:32" ht="12.75" customHeight="1" x14ac:dyDescent="0.2">
      <c r="B8" s="358">
        <f>'1. Facility'!B9</f>
        <v>2</v>
      </c>
      <c r="C8" s="359" t="e">
        <f>IF(M52&gt;0, M52, "")</f>
        <v>#REF!</v>
      </c>
      <c r="E8" s="104" t="s">
        <v>363</v>
      </c>
      <c r="F8" s="107" t="s">
        <v>364</v>
      </c>
      <c r="H8" s="360"/>
      <c r="I8" s="783" t="s">
        <v>377</v>
      </c>
      <c r="J8" s="784"/>
      <c r="K8" s="784"/>
      <c r="L8" s="784"/>
      <c r="M8" s="785"/>
    </row>
    <row r="9" spans="2:32" ht="12.75" customHeight="1" x14ac:dyDescent="0.2">
      <c r="B9" s="358">
        <f>'1. Facility'!B10</f>
        <v>3</v>
      </c>
      <c r="C9" s="359" t="e">
        <f>IF(M67&gt;0, M67, "")</f>
        <v>#REF!</v>
      </c>
      <c r="E9" s="104" t="s">
        <v>366</v>
      </c>
      <c r="F9" s="104" t="s">
        <v>367</v>
      </c>
      <c r="H9" s="360"/>
      <c r="I9" s="783"/>
      <c r="J9" s="784"/>
      <c r="K9" s="784"/>
      <c r="L9" s="784"/>
      <c r="M9" s="785"/>
    </row>
    <row r="10" spans="2:32" ht="12.75" customHeight="1" x14ac:dyDescent="0.2">
      <c r="B10" s="358">
        <f>'1. Facility'!B11</f>
        <v>4</v>
      </c>
      <c r="C10" s="359">
        <f>IF(M82&gt;0, M82, "")</f>
        <v>105.05250000000001</v>
      </c>
      <c r="H10" s="360" t="s">
        <v>380</v>
      </c>
      <c r="I10" s="783" t="s">
        <v>378</v>
      </c>
      <c r="J10" s="784"/>
      <c r="K10" s="784"/>
      <c r="L10" s="784"/>
      <c r="M10" s="785"/>
    </row>
    <row r="11" spans="2:32" ht="12.75" customHeight="1" x14ac:dyDescent="0.2">
      <c r="B11" s="358">
        <f>'1. Facility'!B12</f>
        <v>5</v>
      </c>
      <c r="C11" s="359" t="str">
        <f>IF(M97&gt;0, M97, "")</f>
        <v/>
      </c>
      <c r="H11" s="360"/>
      <c r="I11" s="783" t="s">
        <v>379</v>
      </c>
      <c r="J11" s="784"/>
      <c r="K11" s="784"/>
      <c r="L11" s="784"/>
      <c r="M11" s="785"/>
    </row>
    <row r="12" spans="2:32" ht="12.75" customHeight="1" x14ac:dyDescent="0.2">
      <c r="B12" s="358">
        <f>'1. Facility'!B13</f>
        <v>6</v>
      </c>
      <c r="C12" s="359" t="str">
        <f>IF(M112&gt;0, M112, "")</f>
        <v/>
      </c>
      <c r="H12" s="360"/>
      <c r="I12" s="783"/>
      <c r="J12" s="784"/>
      <c r="K12" s="784"/>
      <c r="L12" s="784"/>
      <c r="M12" s="785"/>
    </row>
    <row r="13" spans="2:32" ht="12.75" customHeight="1" x14ac:dyDescent="0.2">
      <c r="B13" s="358">
        <f>'1. Facility'!B14</f>
        <v>7</v>
      </c>
      <c r="C13" s="359" t="str">
        <f>IF(M127&gt;0, M127, "")</f>
        <v/>
      </c>
      <c r="H13" s="360" t="s">
        <v>381</v>
      </c>
      <c r="I13" s="783" t="s">
        <v>382</v>
      </c>
      <c r="J13" s="784"/>
      <c r="K13" s="784"/>
      <c r="L13" s="784"/>
      <c r="M13" s="785"/>
    </row>
    <row r="14" spans="2:32" ht="12.75" customHeight="1" x14ac:dyDescent="0.2">
      <c r="B14" s="358">
        <f>'1. Facility'!B15</f>
        <v>8</v>
      </c>
      <c r="C14" s="359" t="str">
        <f>IF(M142&gt;0, M142, "")</f>
        <v/>
      </c>
      <c r="H14" s="360"/>
      <c r="I14" s="783"/>
      <c r="J14" s="784"/>
      <c r="K14" s="784"/>
      <c r="L14" s="784"/>
      <c r="M14" s="785"/>
    </row>
    <row r="15" spans="2:32" ht="12.75" customHeight="1" x14ac:dyDescent="0.2">
      <c r="B15" s="358">
        <f>'1. Facility'!B16</f>
        <v>9</v>
      </c>
      <c r="C15" s="359" t="str">
        <f>IF(M157&gt;0, M157, "")</f>
        <v/>
      </c>
      <c r="H15" s="360" t="s">
        <v>383</v>
      </c>
      <c r="I15" s="783" t="s">
        <v>384</v>
      </c>
      <c r="J15" s="784"/>
      <c r="K15" s="784"/>
      <c r="L15" s="784"/>
      <c r="M15" s="785"/>
    </row>
    <row r="16" spans="2:32" ht="12.75" customHeight="1" x14ac:dyDescent="0.2">
      <c r="B16" s="358">
        <f>'1. Facility'!B17</f>
        <v>10</v>
      </c>
      <c r="C16" s="359" t="str">
        <f>IF(M173&gt;0, M172, "")</f>
        <v/>
      </c>
      <c r="H16" s="360"/>
      <c r="I16" s="783" t="s">
        <v>385</v>
      </c>
      <c r="J16" s="784"/>
      <c r="K16" s="784"/>
      <c r="L16" s="784"/>
      <c r="M16" s="785"/>
    </row>
    <row r="17" spans="1:32" ht="12.75" customHeight="1" x14ac:dyDescent="0.2">
      <c r="B17" s="353"/>
      <c r="C17" s="354"/>
    </row>
    <row r="18" spans="1:32" s="361" customFormat="1" x14ac:dyDescent="0.15">
      <c r="B18" s="362" t="s">
        <v>200</v>
      </c>
      <c r="C18" s="362"/>
      <c r="D18" s="362"/>
      <c r="E18" s="362"/>
      <c r="F18" s="362"/>
      <c r="G18" s="363"/>
      <c r="H18" s="363"/>
      <c r="I18" s="363"/>
      <c r="J18" s="363"/>
      <c r="K18" s="363"/>
      <c r="L18" s="363"/>
      <c r="M18" s="363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</row>
    <row r="19" spans="1:32" s="302" customFormat="1" ht="15.75" customHeight="1" x14ac:dyDescent="0.15">
      <c r="B19" s="365" t="s">
        <v>33</v>
      </c>
      <c r="C19" s="365" t="s">
        <v>34</v>
      </c>
      <c r="D19" s="365" t="s">
        <v>35</v>
      </c>
      <c r="E19" s="365"/>
      <c r="F19" s="365" t="s">
        <v>36</v>
      </c>
      <c r="G19" s="365"/>
      <c r="H19" s="365"/>
      <c r="I19" s="365" t="s">
        <v>37</v>
      </c>
      <c r="J19" s="365"/>
      <c r="K19" s="365"/>
      <c r="L19" s="365"/>
      <c r="M19" s="365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</row>
    <row r="20" spans="1:32" ht="18.75" customHeight="1" x14ac:dyDescent="0.15">
      <c r="A20" s="367" t="s">
        <v>7</v>
      </c>
      <c r="B20" s="368" t="s">
        <v>8</v>
      </c>
      <c r="C20" s="368" t="s">
        <v>9</v>
      </c>
      <c r="D20" s="369" t="s">
        <v>13</v>
      </c>
      <c r="E20" s="369" t="s">
        <v>38</v>
      </c>
      <c r="F20" s="369" t="s">
        <v>10</v>
      </c>
      <c r="G20" s="369" t="s">
        <v>14</v>
      </c>
      <c r="H20" s="369" t="s">
        <v>11</v>
      </c>
      <c r="I20" s="369" t="s">
        <v>56</v>
      </c>
      <c r="J20" s="369" t="s">
        <v>12</v>
      </c>
      <c r="K20" s="369" t="s">
        <v>15</v>
      </c>
      <c r="L20" s="369" t="s">
        <v>39</v>
      </c>
      <c r="M20" s="369" t="s">
        <v>40</v>
      </c>
    </row>
    <row r="21" spans="1:32" s="203" customFormat="1" ht="38.25" customHeight="1" x14ac:dyDescent="0.15">
      <c r="A21" s="798" t="s">
        <v>128</v>
      </c>
      <c r="B21" s="788" t="s">
        <v>196</v>
      </c>
      <c r="C21" s="797" t="s">
        <v>204</v>
      </c>
      <c r="D21" s="788" t="s">
        <v>197</v>
      </c>
      <c r="E21" s="791" t="s">
        <v>209</v>
      </c>
      <c r="F21" s="788" t="s">
        <v>198</v>
      </c>
      <c r="G21" s="791" t="s">
        <v>208</v>
      </c>
      <c r="H21" s="370"/>
      <c r="I21" s="788" t="s">
        <v>199</v>
      </c>
      <c r="J21" s="791" t="s">
        <v>205</v>
      </c>
      <c r="K21" s="791" t="s">
        <v>206</v>
      </c>
      <c r="L21" s="799" t="s">
        <v>333</v>
      </c>
      <c r="M21" s="786" t="s">
        <v>334</v>
      </c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</row>
    <row r="22" spans="1:32" s="374" customFormat="1" ht="78.75" customHeight="1" x14ac:dyDescent="0.15">
      <c r="A22" s="798"/>
      <c r="B22" s="789"/>
      <c r="C22" s="789"/>
      <c r="D22" s="789"/>
      <c r="E22" s="792"/>
      <c r="F22" s="789"/>
      <c r="G22" s="792"/>
      <c r="H22" s="372" t="s">
        <v>207</v>
      </c>
      <c r="I22" s="789"/>
      <c r="J22" s="792"/>
      <c r="K22" s="792"/>
      <c r="L22" s="800"/>
      <c r="M22" s="787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</row>
    <row r="23" spans="1:32" s="374" customFormat="1" ht="23.25" customHeight="1" x14ac:dyDescent="0.15">
      <c r="A23" s="773">
        <f>B7</f>
        <v>1</v>
      </c>
      <c r="B23" s="776" t="s">
        <v>201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7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</row>
    <row r="24" spans="1:32" ht="29.25" customHeight="1" x14ac:dyDescent="0.15">
      <c r="A24" s="774"/>
      <c r="B24" s="389" t="str">
        <f>'7B HFC, PFC GWPs'!A7</f>
        <v>HFC-23</v>
      </c>
      <c r="C24" s="390">
        <f>'7B HFC, PFC GWPs'!D7</f>
        <v>11700</v>
      </c>
      <c r="D24" s="391">
        <v>25</v>
      </c>
      <c r="E24" s="376">
        <v>5.0000000000000001E-3</v>
      </c>
      <c r="F24" s="390">
        <v>50</v>
      </c>
      <c r="G24" s="377">
        <v>1</v>
      </c>
      <c r="H24" s="377">
        <v>0.2</v>
      </c>
      <c r="I24" s="391">
        <v>10</v>
      </c>
      <c r="J24" s="377">
        <v>0.5</v>
      </c>
      <c r="K24" s="378">
        <v>0.5</v>
      </c>
      <c r="L24" s="415">
        <f>((D24*E24)+(F24*G24*H24)+(I24*J24*K24))/2000</f>
        <v>6.3125000000000004E-3</v>
      </c>
      <c r="M24" s="379">
        <f>C24*L24</f>
        <v>73.856250000000003</v>
      </c>
    </row>
    <row r="25" spans="1:32" ht="27.75" customHeight="1" x14ac:dyDescent="0.15">
      <c r="A25" s="774"/>
      <c r="B25" s="389"/>
      <c r="C25" s="390"/>
      <c r="D25" s="391"/>
      <c r="E25" s="376">
        <v>5.0000000000000001E-3</v>
      </c>
      <c r="F25" s="390"/>
      <c r="G25" s="377">
        <v>1</v>
      </c>
      <c r="H25" s="377">
        <v>0.2</v>
      </c>
      <c r="I25" s="391"/>
      <c r="J25" s="377">
        <v>0.5</v>
      </c>
      <c r="K25" s="378">
        <v>0.5</v>
      </c>
      <c r="L25" s="415">
        <f t="shared" ref="L25:L35" si="0">((D25*E25)+(F25*G25*H25)+(I25*J25*K25))/2000</f>
        <v>0</v>
      </c>
      <c r="M25" s="379">
        <f t="shared" ref="M25:M35" si="1">C25*L25</f>
        <v>0</v>
      </c>
    </row>
    <row r="26" spans="1:32" ht="27.75" customHeight="1" x14ac:dyDescent="0.15">
      <c r="A26" s="774"/>
      <c r="B26" s="389"/>
      <c r="C26" s="390"/>
      <c r="D26" s="391"/>
      <c r="E26" s="376">
        <v>5.0000000000000001E-3</v>
      </c>
      <c r="F26" s="390"/>
      <c r="G26" s="377">
        <v>1</v>
      </c>
      <c r="H26" s="377">
        <v>0.2</v>
      </c>
      <c r="I26" s="391"/>
      <c r="J26" s="377">
        <v>0.5</v>
      </c>
      <c r="K26" s="378">
        <v>0.5</v>
      </c>
      <c r="L26" s="415">
        <f t="shared" si="0"/>
        <v>0</v>
      </c>
      <c r="M26" s="379">
        <f t="shared" si="1"/>
        <v>0</v>
      </c>
    </row>
    <row r="27" spans="1:32" ht="27.75" customHeight="1" x14ac:dyDescent="0.15">
      <c r="A27" s="774"/>
      <c r="B27" s="389"/>
      <c r="C27" s="390"/>
      <c r="D27" s="391"/>
      <c r="E27" s="376">
        <v>5.0000000000000001E-3</v>
      </c>
      <c r="F27" s="390"/>
      <c r="G27" s="377">
        <v>1</v>
      </c>
      <c r="H27" s="377">
        <v>0.2</v>
      </c>
      <c r="I27" s="391"/>
      <c r="J27" s="377">
        <v>0.5</v>
      </c>
      <c r="K27" s="378">
        <v>0.5</v>
      </c>
      <c r="L27" s="415">
        <f t="shared" si="0"/>
        <v>0</v>
      </c>
      <c r="M27" s="379">
        <f t="shared" si="1"/>
        <v>0</v>
      </c>
    </row>
    <row r="28" spans="1:32" ht="27" customHeight="1" x14ac:dyDescent="0.15">
      <c r="A28" s="774"/>
      <c r="B28" s="389"/>
      <c r="C28" s="390"/>
      <c r="D28" s="391"/>
      <c r="E28" s="376">
        <v>5.0000000000000001E-3</v>
      </c>
      <c r="F28" s="390"/>
      <c r="G28" s="377">
        <v>1</v>
      </c>
      <c r="H28" s="377">
        <v>0.2</v>
      </c>
      <c r="I28" s="391"/>
      <c r="J28" s="377">
        <v>0.5</v>
      </c>
      <c r="K28" s="378">
        <v>0.5</v>
      </c>
      <c r="L28" s="415">
        <f t="shared" si="0"/>
        <v>0</v>
      </c>
      <c r="M28" s="379">
        <f t="shared" si="1"/>
        <v>0</v>
      </c>
    </row>
    <row r="29" spans="1:32" ht="21" customHeight="1" x14ac:dyDescent="0.15">
      <c r="A29" s="774"/>
      <c r="B29" s="778" t="s">
        <v>202</v>
      </c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9"/>
    </row>
    <row r="30" spans="1:32" ht="27" customHeight="1" x14ac:dyDescent="0.15">
      <c r="A30" s="774"/>
      <c r="B30" s="389" t="e">
        <f>'7B HFC, PFC GWPs'!#REF!</f>
        <v>#REF!</v>
      </c>
      <c r="C30" s="390">
        <v>0</v>
      </c>
      <c r="D30" s="391">
        <v>20</v>
      </c>
      <c r="E30" s="377">
        <v>0.01</v>
      </c>
      <c r="F30" s="392">
        <v>45</v>
      </c>
      <c r="G30" s="377">
        <v>1</v>
      </c>
      <c r="H30" s="377">
        <v>0.1</v>
      </c>
      <c r="I30" s="391">
        <v>5</v>
      </c>
      <c r="J30" s="377">
        <v>0.8</v>
      </c>
      <c r="K30" s="378">
        <v>0.8</v>
      </c>
      <c r="L30" s="415">
        <f t="shared" si="0"/>
        <v>3.9500000000000004E-3</v>
      </c>
      <c r="M30" s="380">
        <f t="shared" si="1"/>
        <v>0</v>
      </c>
    </row>
    <row r="31" spans="1:32" ht="27" customHeight="1" x14ac:dyDescent="0.15">
      <c r="A31" s="774"/>
      <c r="B31" s="389"/>
      <c r="C31" s="390"/>
      <c r="D31" s="391"/>
      <c r="E31" s="377">
        <v>0.01</v>
      </c>
      <c r="F31" s="392"/>
      <c r="G31" s="377">
        <v>1</v>
      </c>
      <c r="H31" s="377">
        <v>0.1</v>
      </c>
      <c r="I31" s="391"/>
      <c r="J31" s="377">
        <v>0.8</v>
      </c>
      <c r="K31" s="378">
        <v>0.8</v>
      </c>
      <c r="L31" s="415">
        <f t="shared" si="0"/>
        <v>0</v>
      </c>
      <c r="M31" s="380">
        <f t="shared" si="1"/>
        <v>0</v>
      </c>
    </row>
    <row r="32" spans="1:32" ht="27" customHeight="1" x14ac:dyDescent="0.15">
      <c r="A32" s="774"/>
      <c r="B32" s="389"/>
      <c r="C32" s="390"/>
      <c r="D32" s="391"/>
      <c r="E32" s="377">
        <v>0.01</v>
      </c>
      <c r="F32" s="392"/>
      <c r="G32" s="377">
        <v>1</v>
      </c>
      <c r="H32" s="377">
        <v>0.1</v>
      </c>
      <c r="I32" s="391"/>
      <c r="J32" s="377">
        <v>0.8</v>
      </c>
      <c r="K32" s="378">
        <v>0.8</v>
      </c>
      <c r="L32" s="415">
        <f t="shared" si="0"/>
        <v>0</v>
      </c>
      <c r="M32" s="380">
        <f t="shared" si="1"/>
        <v>0</v>
      </c>
    </row>
    <row r="33" spans="1:32" ht="18.75" customHeight="1" x14ac:dyDescent="0.15">
      <c r="A33" s="774"/>
      <c r="B33" s="778" t="s">
        <v>203</v>
      </c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9"/>
    </row>
    <row r="34" spans="1:32" ht="27" customHeight="1" x14ac:dyDescent="0.15">
      <c r="A34" s="774"/>
      <c r="B34" s="389" t="e">
        <f>'7B HFC, PFC GWPs'!#REF!</f>
        <v>#REF!</v>
      </c>
      <c r="C34" s="390">
        <v>0</v>
      </c>
      <c r="D34" s="391">
        <v>20</v>
      </c>
      <c r="E34" s="377">
        <v>0.01</v>
      </c>
      <c r="F34" s="392">
        <v>40</v>
      </c>
      <c r="G34" s="377">
        <v>1</v>
      </c>
      <c r="H34" s="376">
        <v>5.0000000000000001E-3</v>
      </c>
      <c r="I34" s="391">
        <v>5</v>
      </c>
      <c r="J34" s="377">
        <v>0.8</v>
      </c>
      <c r="K34" s="378">
        <v>0.7</v>
      </c>
      <c r="L34" s="415">
        <f t="shared" si="0"/>
        <v>1.5999999999999999E-3</v>
      </c>
      <c r="M34" s="379">
        <f t="shared" si="1"/>
        <v>0</v>
      </c>
    </row>
    <row r="35" spans="1:32" ht="27" customHeight="1" x14ac:dyDescent="0.15">
      <c r="A35" s="774"/>
      <c r="B35" s="389"/>
      <c r="C35" s="390"/>
      <c r="D35" s="391"/>
      <c r="E35" s="377">
        <v>0.01</v>
      </c>
      <c r="F35" s="392"/>
      <c r="G35" s="377">
        <v>1</v>
      </c>
      <c r="H35" s="376">
        <v>5.0000000000000001E-3</v>
      </c>
      <c r="I35" s="391"/>
      <c r="J35" s="377">
        <v>0.8</v>
      </c>
      <c r="K35" s="378">
        <v>0.7</v>
      </c>
      <c r="L35" s="415">
        <f t="shared" si="0"/>
        <v>0</v>
      </c>
      <c r="M35" s="379">
        <f t="shared" si="1"/>
        <v>0</v>
      </c>
    </row>
    <row r="36" spans="1:32" ht="27" customHeight="1" thickBot="1" x14ac:dyDescent="0.2">
      <c r="A36" s="775"/>
      <c r="B36" s="389"/>
      <c r="C36" s="390"/>
      <c r="D36" s="391"/>
      <c r="E36" s="377">
        <v>0.01</v>
      </c>
      <c r="F36" s="392"/>
      <c r="G36" s="377">
        <v>1</v>
      </c>
      <c r="H36" s="376">
        <v>5.0000000000000001E-3</v>
      </c>
      <c r="I36" s="391"/>
      <c r="J36" s="377">
        <v>0.8</v>
      </c>
      <c r="K36" s="378">
        <v>0.7</v>
      </c>
      <c r="L36" s="415">
        <f>((D36*E36)+(F36*G36*H36)+(I36*J36*K36))/2000</f>
        <v>0</v>
      </c>
      <c r="M36" s="379">
        <f>C36*L36</f>
        <v>0</v>
      </c>
    </row>
    <row r="37" spans="1:32" s="382" customFormat="1" ht="18.75" customHeight="1" thickBot="1" x14ac:dyDescent="0.2">
      <c r="A37" s="780" t="s">
        <v>392</v>
      </c>
      <c r="B37" s="781"/>
      <c r="C37" s="781"/>
      <c r="D37" s="781"/>
      <c r="E37" s="781"/>
      <c r="F37" s="781"/>
      <c r="G37" s="781"/>
      <c r="H37" s="781"/>
      <c r="I37" s="781"/>
      <c r="J37" s="781"/>
      <c r="K37" s="781"/>
      <c r="L37" s="782"/>
      <c r="M37" s="381">
        <f>SUM(M24:M28)+SUM(M30:M32)+SUM(M34:M36)</f>
        <v>73.856250000000003</v>
      </c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</row>
    <row r="38" spans="1:32" s="374" customFormat="1" ht="23.25" customHeight="1" x14ac:dyDescent="0.15">
      <c r="A38" s="773">
        <f>B8</f>
        <v>2</v>
      </c>
      <c r="B38" s="776" t="s">
        <v>201</v>
      </c>
      <c r="C38" s="776"/>
      <c r="D38" s="776"/>
      <c r="E38" s="776"/>
      <c r="F38" s="776"/>
      <c r="G38" s="776"/>
      <c r="H38" s="776"/>
      <c r="I38" s="776"/>
      <c r="J38" s="776"/>
      <c r="K38" s="776"/>
      <c r="L38" s="776"/>
      <c r="M38" s="777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</row>
    <row r="39" spans="1:32" ht="29.25" customHeight="1" x14ac:dyDescent="0.15">
      <c r="A39" s="774"/>
      <c r="B39" s="389" t="str">
        <f>'7B HFC, PFC GWPs'!A8</f>
        <v>HFC-41</v>
      </c>
      <c r="C39" s="390">
        <f>'7B HFC, PFC GWPs'!D8</f>
        <v>150</v>
      </c>
      <c r="D39" s="391">
        <v>15</v>
      </c>
      <c r="E39" s="376">
        <v>5.0000000000000001E-3</v>
      </c>
      <c r="F39" s="390">
        <v>50</v>
      </c>
      <c r="G39" s="377">
        <v>1</v>
      </c>
      <c r="H39" s="377">
        <v>0.2</v>
      </c>
      <c r="I39" s="391">
        <v>15</v>
      </c>
      <c r="J39" s="377">
        <v>0.5</v>
      </c>
      <c r="K39" s="378">
        <v>0.5</v>
      </c>
      <c r="L39" s="415">
        <f>((D39*E39)+(F39*G39*H39)+(I39*J39*K39))/2000</f>
        <v>6.9124999999999994E-3</v>
      </c>
      <c r="M39" s="380">
        <f>C39*L39</f>
        <v>1.036875</v>
      </c>
    </row>
    <row r="40" spans="1:32" ht="27.75" customHeight="1" x14ac:dyDescent="0.15">
      <c r="A40" s="774"/>
      <c r="B40" s="389" t="str">
        <f>'7B HFC, PFC GWPs'!A10</f>
        <v>HFR-125</v>
      </c>
      <c r="C40" s="390">
        <f>'7B HFC, PFC GWPs'!D10</f>
        <v>2800</v>
      </c>
      <c r="D40" s="391">
        <v>5</v>
      </c>
      <c r="E40" s="376">
        <v>5.0000000000000001E-3</v>
      </c>
      <c r="F40" s="390">
        <v>20</v>
      </c>
      <c r="G40" s="377">
        <v>1</v>
      </c>
      <c r="H40" s="377">
        <v>0.2</v>
      </c>
      <c r="I40" s="391">
        <v>10</v>
      </c>
      <c r="J40" s="377">
        <v>0.5</v>
      </c>
      <c r="K40" s="378">
        <v>0.5</v>
      </c>
      <c r="L40" s="415">
        <f>((D40*E40)+(F40*G40*H40)+(I40*J40*K40))/2000</f>
        <v>3.2625000000000002E-3</v>
      </c>
      <c r="M40" s="380">
        <f>C40*L40</f>
        <v>9.1349999999999998</v>
      </c>
    </row>
    <row r="41" spans="1:32" ht="27.75" customHeight="1" x14ac:dyDescent="0.15">
      <c r="A41" s="774"/>
      <c r="B41" s="389"/>
      <c r="C41" s="390"/>
      <c r="D41" s="391"/>
      <c r="E41" s="376">
        <v>5.0000000000000001E-3</v>
      </c>
      <c r="F41" s="390"/>
      <c r="G41" s="377">
        <v>1</v>
      </c>
      <c r="H41" s="377">
        <v>0.2</v>
      </c>
      <c r="I41" s="391"/>
      <c r="J41" s="377">
        <v>0.5</v>
      </c>
      <c r="K41" s="378">
        <v>0.5</v>
      </c>
      <c r="L41" s="415">
        <f>((D41*E41)+(F41*G41*H41)+(I41*J41*K41))/2000</f>
        <v>0</v>
      </c>
      <c r="M41" s="380">
        <f>C41*L41</f>
        <v>0</v>
      </c>
    </row>
    <row r="42" spans="1:32" ht="27.75" customHeight="1" x14ac:dyDescent="0.15">
      <c r="A42" s="774"/>
      <c r="B42" s="389"/>
      <c r="C42" s="390"/>
      <c r="D42" s="391"/>
      <c r="E42" s="376">
        <v>5.0000000000000001E-3</v>
      </c>
      <c r="F42" s="390"/>
      <c r="G42" s="377">
        <v>1</v>
      </c>
      <c r="H42" s="377">
        <v>0.2</v>
      </c>
      <c r="I42" s="391"/>
      <c r="J42" s="377">
        <v>0.5</v>
      </c>
      <c r="K42" s="378">
        <v>0.5</v>
      </c>
      <c r="L42" s="415">
        <f>((D42*E42)+(F42*G42*H42)+(I42*J42*K42))/2000</f>
        <v>0</v>
      </c>
      <c r="M42" s="380">
        <f>C42*L42</f>
        <v>0</v>
      </c>
    </row>
    <row r="43" spans="1:32" ht="27" customHeight="1" x14ac:dyDescent="0.15">
      <c r="A43" s="774"/>
      <c r="B43" s="389"/>
      <c r="C43" s="390"/>
      <c r="D43" s="391"/>
      <c r="E43" s="376">
        <v>5.0000000000000001E-3</v>
      </c>
      <c r="F43" s="390"/>
      <c r="G43" s="377">
        <v>1</v>
      </c>
      <c r="H43" s="377">
        <v>0.2</v>
      </c>
      <c r="I43" s="391"/>
      <c r="J43" s="377">
        <v>0.5</v>
      </c>
      <c r="K43" s="378">
        <v>0.5</v>
      </c>
      <c r="L43" s="415">
        <f>((D43*E43)+(F43*G43*H43)+(I43*J43*K43))/2000</f>
        <v>0</v>
      </c>
      <c r="M43" s="380">
        <f>C43*L43</f>
        <v>0</v>
      </c>
    </row>
    <row r="44" spans="1:32" ht="21" customHeight="1" x14ac:dyDescent="0.15">
      <c r="A44" s="774"/>
      <c r="B44" s="778" t="s">
        <v>202</v>
      </c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9"/>
    </row>
    <row r="45" spans="1:32" ht="27" customHeight="1" x14ac:dyDescent="0.15">
      <c r="A45" s="774"/>
      <c r="B45" s="389" t="e">
        <f>'7B HFC, PFC GWPs'!#REF!</f>
        <v>#REF!</v>
      </c>
      <c r="C45" s="390" t="e">
        <f>'7B HFC, PFC GWPs'!#REF!</f>
        <v>#REF!</v>
      </c>
      <c r="D45" s="391">
        <v>40</v>
      </c>
      <c r="E45" s="377">
        <v>0.01</v>
      </c>
      <c r="F45" s="392">
        <v>100</v>
      </c>
      <c r="G45" s="377">
        <v>1</v>
      </c>
      <c r="H45" s="377">
        <v>0.1</v>
      </c>
      <c r="I45" s="391">
        <v>10</v>
      </c>
      <c r="J45" s="377">
        <v>0.8</v>
      </c>
      <c r="K45" s="378">
        <v>0.8</v>
      </c>
      <c r="L45" s="415">
        <f>((D45*E45)+(F45*G45*H45)+(I45*J45*K45))/2000</f>
        <v>8.4000000000000012E-3</v>
      </c>
      <c r="M45" s="380" t="e">
        <f>C45*L45</f>
        <v>#REF!</v>
      </c>
    </row>
    <row r="46" spans="1:32" ht="27" customHeight="1" x14ac:dyDescent="0.15">
      <c r="A46" s="774"/>
      <c r="B46" s="389"/>
      <c r="C46" s="390"/>
      <c r="D46" s="391"/>
      <c r="E46" s="377">
        <v>0.01</v>
      </c>
      <c r="F46" s="392"/>
      <c r="G46" s="377">
        <v>1</v>
      </c>
      <c r="H46" s="377">
        <v>0.1</v>
      </c>
      <c r="I46" s="391"/>
      <c r="J46" s="377">
        <v>0.8</v>
      </c>
      <c r="K46" s="378">
        <v>0.8</v>
      </c>
      <c r="L46" s="415">
        <f>((D46*E46)+(F46*G46*H46)+(I46*J46*K46))/2000</f>
        <v>0</v>
      </c>
      <c r="M46" s="380">
        <f>C46*L46</f>
        <v>0</v>
      </c>
    </row>
    <row r="47" spans="1:32" ht="27" customHeight="1" x14ac:dyDescent="0.15">
      <c r="A47" s="774"/>
      <c r="B47" s="389"/>
      <c r="C47" s="390"/>
      <c r="D47" s="391"/>
      <c r="E47" s="377">
        <v>0.01</v>
      </c>
      <c r="F47" s="392"/>
      <c r="G47" s="377">
        <v>1</v>
      </c>
      <c r="H47" s="377">
        <v>0.1</v>
      </c>
      <c r="I47" s="391"/>
      <c r="J47" s="377">
        <v>0.8</v>
      </c>
      <c r="K47" s="378">
        <v>0.8</v>
      </c>
      <c r="L47" s="415">
        <f>((D47*E47)+(F47*G47*H47)+(I47*J47*K47))/2000</f>
        <v>0</v>
      </c>
      <c r="M47" s="380">
        <f>C47*L47</f>
        <v>0</v>
      </c>
    </row>
    <row r="48" spans="1:32" ht="18.75" customHeight="1" x14ac:dyDescent="0.15">
      <c r="A48" s="774"/>
      <c r="B48" s="778" t="s">
        <v>203</v>
      </c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9"/>
    </row>
    <row r="49" spans="1:32" ht="27" customHeight="1" x14ac:dyDescent="0.15">
      <c r="A49" s="774"/>
      <c r="B49" s="389" t="e">
        <f>'7B HFC, PFC GWPs'!#REF!</f>
        <v>#REF!</v>
      </c>
      <c r="C49" s="390" t="e">
        <f>'7B HFC, PFC GWPs'!#REF!</f>
        <v>#REF!</v>
      </c>
      <c r="D49" s="391">
        <v>26</v>
      </c>
      <c r="E49" s="377">
        <v>0.01</v>
      </c>
      <c r="F49" s="392">
        <v>50</v>
      </c>
      <c r="G49" s="377">
        <v>1</v>
      </c>
      <c r="H49" s="376">
        <v>5.0000000000000001E-3</v>
      </c>
      <c r="I49" s="391">
        <v>25</v>
      </c>
      <c r="J49" s="377">
        <v>0.8</v>
      </c>
      <c r="K49" s="378">
        <v>0.7</v>
      </c>
      <c r="L49" s="415">
        <f>((D49*E49)+(F49*G49*H49)+(I49*J49*K49))/2000</f>
        <v>7.2550000000000002E-3</v>
      </c>
      <c r="M49" s="380" t="e">
        <f>C49*L49</f>
        <v>#REF!</v>
      </c>
    </row>
    <row r="50" spans="1:32" ht="27" customHeight="1" x14ac:dyDescent="0.15">
      <c r="A50" s="774"/>
      <c r="B50" s="389"/>
      <c r="C50" s="390"/>
      <c r="D50" s="391"/>
      <c r="E50" s="377">
        <v>0.01</v>
      </c>
      <c r="F50" s="392"/>
      <c r="G50" s="377">
        <v>1</v>
      </c>
      <c r="H50" s="376">
        <v>5.0000000000000001E-3</v>
      </c>
      <c r="I50" s="391"/>
      <c r="J50" s="377">
        <v>0.8</v>
      </c>
      <c r="K50" s="378">
        <v>0.7</v>
      </c>
      <c r="L50" s="415">
        <f>((D50*E50)+(F50*G50*H50)+(I50*J50*K50))/2000</f>
        <v>0</v>
      </c>
      <c r="M50" s="380">
        <f>C50*L50</f>
        <v>0</v>
      </c>
    </row>
    <row r="51" spans="1:32" ht="27" customHeight="1" thickBot="1" x14ac:dyDescent="0.2">
      <c r="A51" s="775"/>
      <c r="B51" s="389"/>
      <c r="C51" s="390"/>
      <c r="D51" s="391"/>
      <c r="E51" s="377">
        <v>0.01</v>
      </c>
      <c r="F51" s="392"/>
      <c r="G51" s="377">
        <v>1</v>
      </c>
      <c r="H51" s="376">
        <v>5.0000000000000001E-3</v>
      </c>
      <c r="I51" s="391"/>
      <c r="J51" s="377">
        <v>0.8</v>
      </c>
      <c r="K51" s="378">
        <v>0.7</v>
      </c>
      <c r="L51" s="415">
        <f>((D51*E51)+(F51*G51*H51)+(I51*J51*K51))/2000</f>
        <v>0</v>
      </c>
      <c r="M51" s="380">
        <f>C51*L51</f>
        <v>0</v>
      </c>
    </row>
    <row r="52" spans="1:32" s="382" customFormat="1" ht="18.75" customHeight="1" thickBot="1" x14ac:dyDescent="0.2">
      <c r="A52" s="780" t="s">
        <v>393</v>
      </c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2"/>
      <c r="M52" s="381" t="e">
        <f>SUM(M39:M43)+SUM(M45:M47)+SUM(M49:M51)</f>
        <v>#REF!</v>
      </c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</row>
    <row r="53" spans="1:32" s="374" customFormat="1" ht="23.25" customHeight="1" x14ac:dyDescent="0.15">
      <c r="A53" s="773">
        <f>B9</f>
        <v>3</v>
      </c>
      <c r="B53" s="776" t="s">
        <v>201</v>
      </c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7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</row>
    <row r="54" spans="1:32" ht="29.25" customHeight="1" x14ac:dyDescent="0.15">
      <c r="A54" s="774"/>
      <c r="B54" s="389" t="str">
        <f>'7B HFC, PFC GWPs'!A8</f>
        <v>HFC-41</v>
      </c>
      <c r="C54" s="390">
        <f>'7B HFC, PFC GWPs'!D8</f>
        <v>150</v>
      </c>
      <c r="D54" s="391">
        <v>100</v>
      </c>
      <c r="E54" s="376">
        <v>5.0000000000000001E-3</v>
      </c>
      <c r="F54" s="390">
        <v>300</v>
      </c>
      <c r="G54" s="377">
        <v>1</v>
      </c>
      <c r="H54" s="377">
        <v>0.2</v>
      </c>
      <c r="I54" s="391">
        <v>75</v>
      </c>
      <c r="J54" s="377">
        <v>0.5</v>
      </c>
      <c r="K54" s="378">
        <v>0.5</v>
      </c>
      <c r="L54" s="415">
        <f>((D54*E54)+(F54*G54*H54)+(I54*J54*K54))/2000</f>
        <v>3.9625E-2</v>
      </c>
      <c r="M54" s="380">
        <f>C54*L54</f>
        <v>5.9437499999999996</v>
      </c>
    </row>
    <row r="55" spans="1:32" ht="27.75" customHeight="1" x14ac:dyDescent="0.15">
      <c r="A55" s="774"/>
      <c r="B55" s="389"/>
      <c r="C55" s="390"/>
      <c r="D55" s="391"/>
      <c r="E55" s="376">
        <v>5.0000000000000001E-3</v>
      </c>
      <c r="F55" s="390"/>
      <c r="G55" s="377">
        <v>1</v>
      </c>
      <c r="H55" s="377">
        <v>0.2</v>
      </c>
      <c r="I55" s="391"/>
      <c r="J55" s="377">
        <v>0.5</v>
      </c>
      <c r="K55" s="378">
        <v>0.5</v>
      </c>
      <c r="L55" s="415">
        <f>((D55*E55)+(F55*G55*H55)+(I55*J55*K55))/2000</f>
        <v>0</v>
      </c>
      <c r="M55" s="380">
        <f>C55*L55</f>
        <v>0</v>
      </c>
    </row>
    <row r="56" spans="1:32" ht="27.75" customHeight="1" x14ac:dyDescent="0.15">
      <c r="A56" s="774"/>
      <c r="B56" s="389"/>
      <c r="C56" s="390"/>
      <c r="D56" s="391"/>
      <c r="E56" s="376">
        <v>5.0000000000000001E-3</v>
      </c>
      <c r="F56" s="390"/>
      <c r="G56" s="377">
        <v>1</v>
      </c>
      <c r="H56" s="377">
        <v>0.2</v>
      </c>
      <c r="I56" s="391"/>
      <c r="J56" s="377">
        <v>0.5</v>
      </c>
      <c r="K56" s="378">
        <v>0.5</v>
      </c>
      <c r="L56" s="415">
        <f>((D56*E56)+(F56*G56*H56)+(I56*J56*K56))/2000</f>
        <v>0</v>
      </c>
      <c r="M56" s="380">
        <f>C56*L56</f>
        <v>0</v>
      </c>
    </row>
    <row r="57" spans="1:32" ht="27.75" customHeight="1" x14ac:dyDescent="0.15">
      <c r="A57" s="774"/>
      <c r="B57" s="389"/>
      <c r="C57" s="390"/>
      <c r="D57" s="391"/>
      <c r="E57" s="376">
        <v>5.0000000000000001E-3</v>
      </c>
      <c r="F57" s="390"/>
      <c r="G57" s="377">
        <v>1</v>
      </c>
      <c r="H57" s="377">
        <v>0.2</v>
      </c>
      <c r="I57" s="391"/>
      <c r="J57" s="377">
        <v>0.5</v>
      </c>
      <c r="K57" s="378">
        <v>0.5</v>
      </c>
      <c r="L57" s="415">
        <f>((D57*E57)+(F57*G57*H57)+(I57*J57*K57))/2000</f>
        <v>0</v>
      </c>
      <c r="M57" s="380">
        <f>C57*L57</f>
        <v>0</v>
      </c>
    </row>
    <row r="58" spans="1:32" ht="27" customHeight="1" x14ac:dyDescent="0.15">
      <c r="A58" s="774"/>
      <c r="B58" s="389"/>
      <c r="C58" s="390"/>
      <c r="D58" s="391"/>
      <c r="E58" s="376">
        <v>5.0000000000000001E-3</v>
      </c>
      <c r="F58" s="390"/>
      <c r="G58" s="377">
        <v>1</v>
      </c>
      <c r="H58" s="377">
        <v>0.2</v>
      </c>
      <c r="I58" s="391"/>
      <c r="J58" s="377">
        <v>0.5</v>
      </c>
      <c r="K58" s="378">
        <v>0.5</v>
      </c>
      <c r="L58" s="415">
        <f>((D58*E58)+(F58*G58*H58)+(I58*J58*K58))/2000</f>
        <v>0</v>
      </c>
      <c r="M58" s="380">
        <f>C58*L58</f>
        <v>0</v>
      </c>
    </row>
    <row r="59" spans="1:32" ht="21" customHeight="1" x14ac:dyDescent="0.15">
      <c r="A59" s="774"/>
      <c r="B59" s="778" t="s">
        <v>202</v>
      </c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9"/>
    </row>
    <row r="60" spans="1:32" ht="27" customHeight="1" x14ac:dyDescent="0.15">
      <c r="A60" s="774"/>
      <c r="B60" s="389" t="e">
        <f>'7B HFC, PFC GWPs'!#REF!</f>
        <v>#REF!</v>
      </c>
      <c r="C60" s="390">
        <v>345</v>
      </c>
      <c r="D60" s="391">
        <v>40</v>
      </c>
      <c r="E60" s="377">
        <v>0.01</v>
      </c>
      <c r="F60" s="392">
        <v>140</v>
      </c>
      <c r="G60" s="377">
        <v>1</v>
      </c>
      <c r="H60" s="377">
        <v>0.1</v>
      </c>
      <c r="I60" s="391">
        <v>45</v>
      </c>
      <c r="J60" s="377">
        <v>0.8</v>
      </c>
      <c r="K60" s="378">
        <v>0.8</v>
      </c>
      <c r="L60" s="415">
        <f>((D60*E60)+(F60*G60*H60)+(I60*J60*K60))/2000</f>
        <v>2.1600000000000001E-2</v>
      </c>
      <c r="M60" s="383">
        <f>C60*L60</f>
        <v>7.452</v>
      </c>
    </row>
    <row r="61" spans="1:32" ht="27" customHeight="1" x14ac:dyDescent="0.15">
      <c r="A61" s="774"/>
      <c r="B61" s="389"/>
      <c r="C61" s="390"/>
      <c r="D61" s="391"/>
      <c r="E61" s="377">
        <v>0.01</v>
      </c>
      <c r="F61" s="392"/>
      <c r="G61" s="377">
        <v>1</v>
      </c>
      <c r="H61" s="377">
        <v>0.1</v>
      </c>
      <c r="I61" s="391"/>
      <c r="J61" s="377">
        <v>0.8</v>
      </c>
      <c r="K61" s="378">
        <v>0.8</v>
      </c>
      <c r="L61" s="415">
        <f>((D61*E61)+(F61*G61*H61)+(I61*J61*K61))/2000</f>
        <v>0</v>
      </c>
      <c r="M61" s="383">
        <f>C61*L61</f>
        <v>0</v>
      </c>
    </row>
    <row r="62" spans="1:32" ht="27" customHeight="1" x14ac:dyDescent="0.15">
      <c r="A62" s="774"/>
      <c r="B62" s="389"/>
      <c r="C62" s="390"/>
      <c r="D62" s="391"/>
      <c r="E62" s="377">
        <v>0.01</v>
      </c>
      <c r="F62" s="392"/>
      <c r="G62" s="377">
        <v>1</v>
      </c>
      <c r="H62" s="377">
        <v>0.1</v>
      </c>
      <c r="I62" s="391"/>
      <c r="J62" s="377">
        <v>0.8</v>
      </c>
      <c r="K62" s="378">
        <v>0.8</v>
      </c>
      <c r="L62" s="415">
        <f>((D62*E62)+(F62*G62*H62)+(I62*J62*K62))/2000</f>
        <v>0</v>
      </c>
      <c r="M62" s="383">
        <f>C62*L62</f>
        <v>0</v>
      </c>
    </row>
    <row r="63" spans="1:32" ht="18.75" customHeight="1" x14ac:dyDescent="0.15">
      <c r="A63" s="774"/>
      <c r="B63" s="778" t="s">
        <v>203</v>
      </c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9"/>
    </row>
    <row r="64" spans="1:32" ht="27" customHeight="1" x14ac:dyDescent="0.15">
      <c r="A64" s="774"/>
      <c r="B64" s="389" t="e">
        <f>'7B HFC, PFC GWPs'!#REF!</f>
        <v>#REF!</v>
      </c>
      <c r="C64" s="390" t="e">
        <f>'7B HFC, PFC GWPs'!#REF!</f>
        <v>#REF!</v>
      </c>
      <c r="D64" s="391">
        <v>30</v>
      </c>
      <c r="E64" s="377">
        <v>0.01</v>
      </c>
      <c r="F64" s="392">
        <v>100</v>
      </c>
      <c r="G64" s="377">
        <v>1</v>
      </c>
      <c r="H64" s="376">
        <v>5.0000000000000001E-3</v>
      </c>
      <c r="I64" s="391">
        <v>50</v>
      </c>
      <c r="J64" s="377">
        <v>0.8</v>
      </c>
      <c r="K64" s="378">
        <v>0.7</v>
      </c>
      <c r="L64" s="415">
        <f>((D64*E64)+(F64*G64*H64)+(I64*J64*K64))/2000</f>
        <v>1.44E-2</v>
      </c>
      <c r="M64" s="383" t="e">
        <f>C64*L64</f>
        <v>#REF!</v>
      </c>
    </row>
    <row r="65" spans="1:32" ht="27" customHeight="1" x14ac:dyDescent="0.15">
      <c r="A65" s="774"/>
      <c r="B65" s="389"/>
      <c r="C65" s="390"/>
      <c r="D65" s="391"/>
      <c r="E65" s="377">
        <v>0.01</v>
      </c>
      <c r="F65" s="392"/>
      <c r="G65" s="377">
        <v>1</v>
      </c>
      <c r="H65" s="376">
        <v>5.0000000000000001E-3</v>
      </c>
      <c r="I65" s="391"/>
      <c r="J65" s="377">
        <v>0.8</v>
      </c>
      <c r="K65" s="378">
        <v>0.7</v>
      </c>
      <c r="L65" s="415">
        <f>((D65*E65)+(F65*G65*H65)+(I65*J65*K65))/2000</f>
        <v>0</v>
      </c>
      <c r="M65" s="383">
        <f>C65*L65</f>
        <v>0</v>
      </c>
    </row>
    <row r="66" spans="1:32" ht="27" customHeight="1" thickBot="1" x14ac:dyDescent="0.2">
      <c r="A66" s="775"/>
      <c r="B66" s="389"/>
      <c r="C66" s="390"/>
      <c r="D66" s="391"/>
      <c r="E66" s="377">
        <v>0.01</v>
      </c>
      <c r="F66" s="392"/>
      <c r="G66" s="377">
        <v>1</v>
      </c>
      <c r="H66" s="376">
        <v>5.0000000000000001E-3</v>
      </c>
      <c r="I66" s="391"/>
      <c r="J66" s="377">
        <v>0.8</v>
      </c>
      <c r="K66" s="378">
        <v>0.7</v>
      </c>
      <c r="L66" s="415">
        <f>((D66*E66)+(F66*G66*H66)+(I66*J66*K66))/2000</f>
        <v>0</v>
      </c>
      <c r="M66" s="383">
        <f>C66*L66</f>
        <v>0</v>
      </c>
    </row>
    <row r="67" spans="1:32" s="382" customFormat="1" ht="18.75" customHeight="1" thickBot="1" x14ac:dyDescent="0.2">
      <c r="A67" s="780" t="s">
        <v>394</v>
      </c>
      <c r="B67" s="781"/>
      <c r="C67" s="781"/>
      <c r="D67" s="781"/>
      <c r="E67" s="781"/>
      <c r="F67" s="781"/>
      <c r="G67" s="781"/>
      <c r="H67" s="781"/>
      <c r="I67" s="781"/>
      <c r="J67" s="781"/>
      <c r="K67" s="781"/>
      <c r="L67" s="782"/>
      <c r="M67" s="381" t="e">
        <f>SUM(M54:M58)+SUM(M60:M62)+SUM(M64:M66)</f>
        <v>#REF!</v>
      </c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</row>
    <row r="68" spans="1:32" s="374" customFormat="1" ht="23.25" customHeight="1" x14ac:dyDescent="0.15">
      <c r="A68" s="773">
        <f>B10</f>
        <v>4</v>
      </c>
      <c r="B68" s="776" t="s">
        <v>201</v>
      </c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7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</row>
    <row r="69" spans="1:32" ht="29.25" customHeight="1" x14ac:dyDescent="0.15">
      <c r="A69" s="774"/>
      <c r="B69" s="389" t="str">
        <f>'7B HFC, PFC GWPs'!A21</f>
        <v>HFC-236fa</v>
      </c>
      <c r="C69" s="390">
        <f>'7B HFC, PFC GWPs'!D21</f>
        <v>6300</v>
      </c>
      <c r="D69" s="391">
        <v>20</v>
      </c>
      <c r="E69" s="376">
        <v>5.0000000000000001E-3</v>
      </c>
      <c r="F69" s="390">
        <v>150</v>
      </c>
      <c r="G69" s="377">
        <v>1</v>
      </c>
      <c r="H69" s="377">
        <v>0.2</v>
      </c>
      <c r="I69" s="391">
        <v>13</v>
      </c>
      <c r="J69" s="377">
        <v>0.5</v>
      </c>
      <c r="K69" s="378">
        <v>0.5</v>
      </c>
      <c r="L69" s="415">
        <f>((D69*E69)+(F69*G69*H69)+(I69*J69*K69))/2000</f>
        <v>1.6675000000000002E-2</v>
      </c>
      <c r="M69" s="383">
        <f>C69*L69</f>
        <v>105.05250000000001</v>
      </c>
    </row>
    <row r="70" spans="1:32" ht="27.75" customHeight="1" x14ac:dyDescent="0.15">
      <c r="A70" s="774"/>
      <c r="B70" s="389"/>
      <c r="C70" s="390"/>
      <c r="D70" s="391"/>
      <c r="E70" s="376">
        <v>5.0000000000000001E-3</v>
      </c>
      <c r="F70" s="390"/>
      <c r="G70" s="377">
        <v>1</v>
      </c>
      <c r="H70" s="377">
        <v>0.2</v>
      </c>
      <c r="I70" s="391"/>
      <c r="J70" s="377">
        <v>0.5</v>
      </c>
      <c r="K70" s="378">
        <v>0.5</v>
      </c>
      <c r="L70" s="415">
        <f>((D70*E70)+(F70*G70*H70)+(I70*J70*K70))/2000</f>
        <v>0</v>
      </c>
      <c r="M70" s="383">
        <f>C70*L70</f>
        <v>0</v>
      </c>
    </row>
    <row r="71" spans="1:32" ht="27.75" customHeight="1" x14ac:dyDescent="0.15">
      <c r="A71" s="774"/>
      <c r="B71" s="389"/>
      <c r="C71" s="390"/>
      <c r="D71" s="391"/>
      <c r="E71" s="376">
        <v>5.0000000000000001E-3</v>
      </c>
      <c r="F71" s="390"/>
      <c r="G71" s="377">
        <v>1</v>
      </c>
      <c r="H71" s="377">
        <v>0.2</v>
      </c>
      <c r="I71" s="391"/>
      <c r="J71" s="377">
        <v>0.5</v>
      </c>
      <c r="K71" s="378">
        <v>0.5</v>
      </c>
      <c r="L71" s="415">
        <f>((D71*E71)+(F71*G71*H71)+(I71*J71*K71))/2000</f>
        <v>0</v>
      </c>
      <c r="M71" s="383">
        <f>C71*L71</f>
        <v>0</v>
      </c>
    </row>
    <row r="72" spans="1:32" ht="27.75" customHeight="1" x14ac:dyDescent="0.15">
      <c r="A72" s="774"/>
      <c r="B72" s="389"/>
      <c r="C72" s="390"/>
      <c r="D72" s="391"/>
      <c r="E72" s="376">
        <v>5.0000000000000001E-3</v>
      </c>
      <c r="F72" s="390"/>
      <c r="G72" s="377">
        <v>1</v>
      </c>
      <c r="H72" s="377">
        <v>0.2</v>
      </c>
      <c r="I72" s="391"/>
      <c r="J72" s="377">
        <v>0.5</v>
      </c>
      <c r="K72" s="378">
        <v>0.5</v>
      </c>
      <c r="L72" s="415">
        <f>((D72*E72)+(F72*G72*H72)+(I72*J72*K72))/2000</f>
        <v>0</v>
      </c>
      <c r="M72" s="383">
        <f>C72*L72</f>
        <v>0</v>
      </c>
    </row>
    <row r="73" spans="1:32" ht="27" customHeight="1" x14ac:dyDescent="0.15">
      <c r="A73" s="774"/>
      <c r="B73" s="389"/>
      <c r="C73" s="390"/>
      <c r="D73" s="391"/>
      <c r="E73" s="376">
        <v>5.0000000000000001E-3</v>
      </c>
      <c r="F73" s="390"/>
      <c r="G73" s="377">
        <v>1</v>
      </c>
      <c r="H73" s="377">
        <v>0.2</v>
      </c>
      <c r="I73" s="391"/>
      <c r="J73" s="377">
        <v>0.5</v>
      </c>
      <c r="K73" s="378">
        <v>0.5</v>
      </c>
      <c r="L73" s="415">
        <f>((D73*E73)+(F73*G73*H73)+(I73*J73*K73))/2000</f>
        <v>0</v>
      </c>
      <c r="M73" s="383">
        <f>C73*L73</f>
        <v>0</v>
      </c>
    </row>
    <row r="74" spans="1:32" ht="21" customHeight="1" x14ac:dyDescent="0.15">
      <c r="A74" s="774"/>
      <c r="B74" s="778" t="s">
        <v>202</v>
      </c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9"/>
    </row>
    <row r="75" spans="1:32" ht="27" customHeight="1" x14ac:dyDescent="0.15">
      <c r="A75" s="774"/>
      <c r="B75" s="389"/>
      <c r="C75" s="390"/>
      <c r="D75" s="391"/>
      <c r="E75" s="377">
        <v>0.01</v>
      </c>
      <c r="F75" s="392"/>
      <c r="G75" s="377">
        <v>1</v>
      </c>
      <c r="H75" s="377">
        <v>0.1</v>
      </c>
      <c r="I75" s="391"/>
      <c r="J75" s="377">
        <v>0.8</v>
      </c>
      <c r="K75" s="378">
        <v>0.8</v>
      </c>
      <c r="L75" s="415">
        <f>((D75*E75)+(F75*G75*H75)+(I75*J75*K75))/2000</f>
        <v>0</v>
      </c>
      <c r="M75" s="383">
        <f>C75*L75</f>
        <v>0</v>
      </c>
    </row>
    <row r="76" spans="1:32" ht="27" customHeight="1" x14ac:dyDescent="0.15">
      <c r="A76" s="774"/>
      <c r="B76" s="389"/>
      <c r="C76" s="390"/>
      <c r="D76" s="391"/>
      <c r="E76" s="377">
        <v>0.01</v>
      </c>
      <c r="F76" s="392"/>
      <c r="G76" s="377">
        <v>1</v>
      </c>
      <c r="H76" s="377">
        <v>0.1</v>
      </c>
      <c r="I76" s="391"/>
      <c r="J76" s="377">
        <v>0.8</v>
      </c>
      <c r="K76" s="378">
        <v>0.8</v>
      </c>
      <c r="L76" s="415">
        <f>((D76*E76)+(F76*G76*H76)+(I76*J76*K76))/2000</f>
        <v>0</v>
      </c>
      <c r="M76" s="383">
        <f>C76*L76</f>
        <v>0</v>
      </c>
    </row>
    <row r="77" spans="1:32" ht="27" customHeight="1" x14ac:dyDescent="0.15">
      <c r="A77" s="774"/>
      <c r="B77" s="389"/>
      <c r="C77" s="390"/>
      <c r="D77" s="391"/>
      <c r="E77" s="377">
        <v>0.01</v>
      </c>
      <c r="F77" s="392"/>
      <c r="G77" s="377">
        <v>1</v>
      </c>
      <c r="H77" s="377">
        <v>0.1</v>
      </c>
      <c r="I77" s="391"/>
      <c r="J77" s="377">
        <v>0.8</v>
      </c>
      <c r="K77" s="378">
        <v>0.8</v>
      </c>
      <c r="L77" s="415">
        <f>((D77*E77)+(F77*G77*H77)+(I77*J77*K77))/2000</f>
        <v>0</v>
      </c>
      <c r="M77" s="383">
        <f>C77*L77</f>
        <v>0</v>
      </c>
    </row>
    <row r="78" spans="1:32" ht="18.75" customHeight="1" x14ac:dyDescent="0.15">
      <c r="A78" s="774"/>
      <c r="B78" s="778" t="s">
        <v>203</v>
      </c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9"/>
    </row>
    <row r="79" spans="1:32" ht="27" customHeight="1" x14ac:dyDescent="0.15">
      <c r="A79" s="774"/>
      <c r="B79" s="389"/>
      <c r="C79" s="390"/>
      <c r="D79" s="391"/>
      <c r="E79" s="377">
        <v>0.01</v>
      </c>
      <c r="F79" s="392"/>
      <c r="G79" s="377">
        <v>1</v>
      </c>
      <c r="H79" s="376">
        <v>5.0000000000000001E-3</v>
      </c>
      <c r="I79" s="391"/>
      <c r="J79" s="377">
        <v>0.8</v>
      </c>
      <c r="K79" s="378">
        <v>0.7</v>
      </c>
      <c r="L79" s="415">
        <f>((D79*E79)+(F79*G79*H79)+(I79*J79*K79))/2000</f>
        <v>0</v>
      </c>
      <c r="M79" s="383">
        <f>C79*L79</f>
        <v>0</v>
      </c>
    </row>
    <row r="80" spans="1:32" ht="27" customHeight="1" x14ac:dyDescent="0.15">
      <c r="A80" s="774"/>
      <c r="B80" s="389"/>
      <c r="C80" s="390"/>
      <c r="D80" s="391"/>
      <c r="E80" s="377">
        <v>0.01</v>
      </c>
      <c r="F80" s="392"/>
      <c r="G80" s="377">
        <v>1</v>
      </c>
      <c r="H80" s="376">
        <v>5.0000000000000001E-3</v>
      </c>
      <c r="I80" s="391"/>
      <c r="J80" s="377">
        <v>0.8</v>
      </c>
      <c r="K80" s="378">
        <v>0.7</v>
      </c>
      <c r="L80" s="415">
        <f>((D80*E80)+(F80*G80*H80)+(I80*J80*K80))/2000</f>
        <v>0</v>
      </c>
      <c r="M80" s="383">
        <f>C80*L80</f>
        <v>0</v>
      </c>
    </row>
    <row r="81" spans="1:32" ht="27" customHeight="1" x14ac:dyDescent="0.15">
      <c r="A81" s="775"/>
      <c r="B81" s="393"/>
      <c r="C81" s="394"/>
      <c r="D81" s="395"/>
      <c r="E81" s="384">
        <v>0.01</v>
      </c>
      <c r="F81" s="396"/>
      <c r="G81" s="384">
        <v>1</v>
      </c>
      <c r="H81" s="385">
        <v>5.0000000000000001E-3</v>
      </c>
      <c r="I81" s="395"/>
      <c r="J81" s="384">
        <v>0.8</v>
      </c>
      <c r="K81" s="386">
        <v>0.7</v>
      </c>
      <c r="L81" s="416">
        <f>((D81*E81)+(F81*G81*H81)+(I81*J81*K81))/2000</f>
        <v>0</v>
      </c>
      <c r="M81" s="387">
        <f>C81*L81</f>
        <v>0</v>
      </c>
    </row>
    <row r="82" spans="1:32" s="382" customFormat="1" ht="18.75" customHeight="1" x14ac:dyDescent="0.15">
      <c r="A82" s="771" t="s">
        <v>395</v>
      </c>
      <c r="B82" s="772"/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388">
        <f>SUM(M69:M73)+SUM(M75:M77)+SUM(M79:M81)</f>
        <v>105.05250000000001</v>
      </c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</row>
    <row r="83" spans="1:32" s="374" customFormat="1" ht="23.25" customHeight="1" x14ac:dyDescent="0.15">
      <c r="A83" s="773">
        <f>B11</f>
        <v>5</v>
      </c>
      <c r="B83" s="776" t="s">
        <v>201</v>
      </c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7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</row>
    <row r="84" spans="1:32" ht="29.25" customHeight="1" x14ac:dyDescent="0.15">
      <c r="A84" s="774"/>
      <c r="B84" s="389"/>
      <c r="C84" s="390"/>
      <c r="D84" s="391"/>
      <c r="E84" s="376">
        <v>5.0000000000000001E-3</v>
      </c>
      <c r="F84" s="390"/>
      <c r="G84" s="377">
        <v>1</v>
      </c>
      <c r="H84" s="377">
        <v>0.2</v>
      </c>
      <c r="I84" s="391"/>
      <c r="J84" s="377">
        <v>0.5</v>
      </c>
      <c r="K84" s="378">
        <v>0.5</v>
      </c>
      <c r="L84" s="415">
        <f>((D84*E84)+(F84*G84*H84)+(I84*J84*K84))/2000</f>
        <v>0</v>
      </c>
      <c r="M84" s="383">
        <f>C84*L84</f>
        <v>0</v>
      </c>
    </row>
    <row r="85" spans="1:32" ht="27.75" customHeight="1" x14ac:dyDescent="0.15">
      <c r="A85" s="774"/>
      <c r="B85" s="389"/>
      <c r="C85" s="390"/>
      <c r="D85" s="391"/>
      <c r="E85" s="376">
        <v>5.0000000000000001E-3</v>
      </c>
      <c r="F85" s="390"/>
      <c r="G85" s="377">
        <v>1</v>
      </c>
      <c r="H85" s="377">
        <v>0.2</v>
      </c>
      <c r="I85" s="391"/>
      <c r="J85" s="377">
        <v>0.5</v>
      </c>
      <c r="K85" s="378">
        <v>0.5</v>
      </c>
      <c r="L85" s="415">
        <f>((D85*E85)+(F85*G85*H85)+(I85*J85*K85))/2000</f>
        <v>0</v>
      </c>
      <c r="M85" s="383">
        <f>C85*L85</f>
        <v>0</v>
      </c>
    </row>
    <row r="86" spans="1:32" ht="27.75" customHeight="1" x14ac:dyDescent="0.15">
      <c r="A86" s="774"/>
      <c r="B86" s="389"/>
      <c r="C86" s="390"/>
      <c r="D86" s="391"/>
      <c r="E86" s="376">
        <v>5.0000000000000001E-3</v>
      </c>
      <c r="F86" s="390"/>
      <c r="G86" s="377">
        <v>1</v>
      </c>
      <c r="H86" s="377">
        <v>0.2</v>
      </c>
      <c r="I86" s="391"/>
      <c r="J86" s="377">
        <v>0.5</v>
      </c>
      <c r="K86" s="378">
        <v>0.5</v>
      </c>
      <c r="L86" s="415">
        <f>((D86*E86)+(F86*G86*H86)+(I86*J86*K86))/2000</f>
        <v>0</v>
      </c>
      <c r="M86" s="383">
        <f>C86*L86</f>
        <v>0</v>
      </c>
    </row>
    <row r="87" spans="1:32" ht="27.75" customHeight="1" x14ac:dyDescent="0.15">
      <c r="A87" s="774"/>
      <c r="B87" s="389"/>
      <c r="C87" s="390"/>
      <c r="D87" s="391"/>
      <c r="E87" s="376">
        <v>5.0000000000000001E-3</v>
      </c>
      <c r="F87" s="390"/>
      <c r="G87" s="377">
        <v>1</v>
      </c>
      <c r="H87" s="377">
        <v>0.2</v>
      </c>
      <c r="I87" s="391"/>
      <c r="J87" s="377">
        <v>0.5</v>
      </c>
      <c r="K87" s="378">
        <v>0.5</v>
      </c>
      <c r="L87" s="415">
        <f>((D87*E87)+(F87*G87*H87)+(I87*J87*K87))/2000</f>
        <v>0</v>
      </c>
      <c r="M87" s="383">
        <f>C87*L87</f>
        <v>0</v>
      </c>
    </row>
    <row r="88" spans="1:32" ht="27" customHeight="1" x14ac:dyDescent="0.15">
      <c r="A88" s="774"/>
      <c r="B88" s="389"/>
      <c r="C88" s="390"/>
      <c r="D88" s="391"/>
      <c r="E88" s="376">
        <v>5.0000000000000001E-3</v>
      </c>
      <c r="F88" s="390"/>
      <c r="G88" s="377">
        <v>1</v>
      </c>
      <c r="H88" s="377">
        <v>0.2</v>
      </c>
      <c r="I88" s="391"/>
      <c r="J88" s="377">
        <v>0.5</v>
      </c>
      <c r="K88" s="378">
        <v>0.5</v>
      </c>
      <c r="L88" s="415">
        <f>((D88*E88)+(F88*G88*H88)+(I88*J88*K88))/2000</f>
        <v>0</v>
      </c>
      <c r="M88" s="383">
        <f>C88*L88</f>
        <v>0</v>
      </c>
    </row>
    <row r="89" spans="1:32" ht="21" customHeight="1" x14ac:dyDescent="0.15">
      <c r="A89" s="774"/>
      <c r="B89" s="778" t="s">
        <v>202</v>
      </c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9"/>
    </row>
    <row r="90" spans="1:32" ht="27" customHeight="1" x14ac:dyDescent="0.15">
      <c r="A90" s="774"/>
      <c r="B90" s="389"/>
      <c r="C90" s="390"/>
      <c r="D90" s="391"/>
      <c r="E90" s="377">
        <v>0.01</v>
      </c>
      <c r="F90" s="392"/>
      <c r="G90" s="377">
        <v>1</v>
      </c>
      <c r="H90" s="377">
        <v>0.1</v>
      </c>
      <c r="I90" s="391"/>
      <c r="J90" s="377">
        <v>0.8</v>
      </c>
      <c r="K90" s="378">
        <v>0.8</v>
      </c>
      <c r="L90" s="415">
        <f>((D90*E90)+(F90*G90*H90)+(I90*J90*K90))/2000</f>
        <v>0</v>
      </c>
      <c r="M90" s="383">
        <f>C90*L90</f>
        <v>0</v>
      </c>
    </row>
    <row r="91" spans="1:32" ht="27" customHeight="1" x14ac:dyDescent="0.15">
      <c r="A91" s="774"/>
      <c r="B91" s="389"/>
      <c r="C91" s="390"/>
      <c r="D91" s="391"/>
      <c r="E91" s="377">
        <v>0.01</v>
      </c>
      <c r="F91" s="392"/>
      <c r="G91" s="377">
        <v>1</v>
      </c>
      <c r="H91" s="377">
        <v>0.1</v>
      </c>
      <c r="I91" s="391"/>
      <c r="J91" s="377">
        <v>0.8</v>
      </c>
      <c r="K91" s="378">
        <v>0.8</v>
      </c>
      <c r="L91" s="415">
        <f>((D91*E91)+(F91*G91*H91)+(I91*J91*K91))/2000</f>
        <v>0</v>
      </c>
      <c r="M91" s="383">
        <f>C91*L91</f>
        <v>0</v>
      </c>
    </row>
    <row r="92" spans="1:32" ht="27" customHeight="1" x14ac:dyDescent="0.15">
      <c r="A92" s="774"/>
      <c r="B92" s="389"/>
      <c r="C92" s="390"/>
      <c r="D92" s="391"/>
      <c r="E92" s="377">
        <v>0.01</v>
      </c>
      <c r="F92" s="392"/>
      <c r="G92" s="377">
        <v>1</v>
      </c>
      <c r="H92" s="377">
        <v>0.1</v>
      </c>
      <c r="I92" s="391"/>
      <c r="J92" s="377">
        <v>0.8</v>
      </c>
      <c r="K92" s="378">
        <v>0.8</v>
      </c>
      <c r="L92" s="415">
        <f>((D92*E92)+(F92*G92*H92)+(I92*J92*K92))/2000</f>
        <v>0</v>
      </c>
      <c r="M92" s="383">
        <f>C92*L92</f>
        <v>0</v>
      </c>
    </row>
    <row r="93" spans="1:32" ht="18.75" customHeight="1" x14ac:dyDescent="0.15">
      <c r="A93" s="774"/>
      <c r="B93" s="778" t="s">
        <v>203</v>
      </c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9"/>
    </row>
    <row r="94" spans="1:32" ht="27" customHeight="1" x14ac:dyDescent="0.15">
      <c r="A94" s="774"/>
      <c r="B94" s="389"/>
      <c r="C94" s="390"/>
      <c r="D94" s="391"/>
      <c r="E94" s="377">
        <v>0.01</v>
      </c>
      <c r="F94" s="392"/>
      <c r="G94" s="377">
        <v>1</v>
      </c>
      <c r="H94" s="376">
        <v>5.0000000000000001E-3</v>
      </c>
      <c r="I94" s="391"/>
      <c r="J94" s="377">
        <v>0.8</v>
      </c>
      <c r="K94" s="378">
        <v>0.7</v>
      </c>
      <c r="L94" s="415">
        <f>((D94*E94)+(F94*G94*H94)+(I94*J94*K94))/2000</f>
        <v>0</v>
      </c>
      <c r="M94" s="383">
        <f>C94*L94</f>
        <v>0</v>
      </c>
    </row>
    <row r="95" spans="1:32" ht="27" customHeight="1" x14ac:dyDescent="0.15">
      <c r="A95" s="774"/>
      <c r="B95" s="389"/>
      <c r="C95" s="390"/>
      <c r="D95" s="391"/>
      <c r="E95" s="377">
        <v>0.01</v>
      </c>
      <c r="F95" s="392"/>
      <c r="G95" s="377">
        <v>1</v>
      </c>
      <c r="H95" s="376">
        <v>5.0000000000000001E-3</v>
      </c>
      <c r="I95" s="391"/>
      <c r="J95" s="377">
        <v>0.8</v>
      </c>
      <c r="K95" s="378">
        <v>0.7</v>
      </c>
      <c r="L95" s="415">
        <f>((D95*E95)+(F95*G95*H95)+(I95*J95*K95))/2000</f>
        <v>0</v>
      </c>
      <c r="M95" s="383">
        <f>C95*L95</f>
        <v>0</v>
      </c>
    </row>
    <row r="96" spans="1:32" ht="27" customHeight="1" x14ac:dyDescent="0.15">
      <c r="A96" s="775"/>
      <c r="B96" s="393"/>
      <c r="C96" s="394"/>
      <c r="D96" s="395"/>
      <c r="E96" s="384">
        <v>0.01</v>
      </c>
      <c r="F96" s="396"/>
      <c r="G96" s="384">
        <v>1</v>
      </c>
      <c r="H96" s="385">
        <v>5.0000000000000001E-3</v>
      </c>
      <c r="I96" s="395"/>
      <c r="J96" s="384">
        <v>0.8</v>
      </c>
      <c r="K96" s="386">
        <v>0.7</v>
      </c>
      <c r="L96" s="416">
        <f>((D96*E96)+(F96*G96*H96)+(I96*J96*K96))/2000</f>
        <v>0</v>
      </c>
      <c r="M96" s="387">
        <f>C96*L96</f>
        <v>0</v>
      </c>
    </row>
    <row r="97" spans="1:32" s="382" customFormat="1" ht="18.75" customHeight="1" x14ac:dyDescent="0.15">
      <c r="A97" s="771" t="s">
        <v>396</v>
      </c>
      <c r="B97" s="772"/>
      <c r="C97" s="772"/>
      <c r="D97" s="772"/>
      <c r="E97" s="772"/>
      <c r="F97" s="772"/>
      <c r="G97" s="772"/>
      <c r="H97" s="772"/>
      <c r="I97" s="772"/>
      <c r="J97" s="772"/>
      <c r="K97" s="772"/>
      <c r="L97" s="772"/>
      <c r="M97" s="388">
        <f>SUM(M84:M88)+SUM(M90:M92)+SUM(M94:M96)</f>
        <v>0</v>
      </c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</row>
    <row r="98" spans="1:32" s="374" customFormat="1" ht="23.25" customHeight="1" x14ac:dyDescent="0.15">
      <c r="A98" s="773">
        <f>B12</f>
        <v>6</v>
      </c>
      <c r="B98" s="776" t="s">
        <v>201</v>
      </c>
      <c r="C98" s="776"/>
      <c r="D98" s="776"/>
      <c r="E98" s="776"/>
      <c r="F98" s="776"/>
      <c r="G98" s="776"/>
      <c r="H98" s="776"/>
      <c r="I98" s="776"/>
      <c r="J98" s="776"/>
      <c r="K98" s="776"/>
      <c r="L98" s="776"/>
      <c r="M98" s="777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</row>
    <row r="99" spans="1:32" ht="29.25" customHeight="1" x14ac:dyDescent="0.15">
      <c r="A99" s="774"/>
      <c r="B99" s="389"/>
      <c r="C99" s="390"/>
      <c r="D99" s="391"/>
      <c r="E99" s="376">
        <v>5.0000000000000001E-3</v>
      </c>
      <c r="F99" s="390"/>
      <c r="G99" s="377">
        <v>1</v>
      </c>
      <c r="H99" s="377">
        <v>0.2</v>
      </c>
      <c r="I99" s="391"/>
      <c r="J99" s="377">
        <v>0.5</v>
      </c>
      <c r="K99" s="378">
        <v>0.5</v>
      </c>
      <c r="L99" s="415">
        <f>((D99*E99)+(F99*G99*H99)+(I99*J99*K99))/2000</f>
        <v>0</v>
      </c>
      <c r="M99" s="383">
        <f>C99*L99</f>
        <v>0</v>
      </c>
    </row>
    <row r="100" spans="1:32" ht="27.75" customHeight="1" x14ac:dyDescent="0.15">
      <c r="A100" s="774"/>
      <c r="B100" s="389"/>
      <c r="C100" s="390"/>
      <c r="D100" s="391"/>
      <c r="E100" s="376">
        <v>5.0000000000000001E-3</v>
      </c>
      <c r="F100" s="390"/>
      <c r="G100" s="377">
        <v>1</v>
      </c>
      <c r="H100" s="377">
        <v>0.2</v>
      </c>
      <c r="I100" s="391"/>
      <c r="J100" s="377">
        <v>0.5</v>
      </c>
      <c r="K100" s="378">
        <v>0.5</v>
      </c>
      <c r="L100" s="415">
        <f>((D100*E100)+(F100*G100*H100)+(I100*J100*K100))/2000</f>
        <v>0</v>
      </c>
      <c r="M100" s="383">
        <f>C100*L100</f>
        <v>0</v>
      </c>
    </row>
    <row r="101" spans="1:32" ht="27.75" customHeight="1" x14ac:dyDescent="0.15">
      <c r="A101" s="774"/>
      <c r="B101" s="389"/>
      <c r="C101" s="390"/>
      <c r="D101" s="391"/>
      <c r="E101" s="376">
        <v>5.0000000000000001E-3</v>
      </c>
      <c r="F101" s="390"/>
      <c r="G101" s="377">
        <v>1</v>
      </c>
      <c r="H101" s="377">
        <v>0.2</v>
      </c>
      <c r="I101" s="391"/>
      <c r="J101" s="377">
        <v>0.5</v>
      </c>
      <c r="K101" s="378">
        <v>0.5</v>
      </c>
      <c r="L101" s="415">
        <f>((D101*E101)+(F101*G101*H101)+(I101*J101*K101))/2000</f>
        <v>0</v>
      </c>
      <c r="M101" s="383">
        <f>C101*L101</f>
        <v>0</v>
      </c>
    </row>
    <row r="102" spans="1:32" ht="27.75" customHeight="1" x14ac:dyDescent="0.15">
      <c r="A102" s="774"/>
      <c r="B102" s="389"/>
      <c r="C102" s="390"/>
      <c r="D102" s="391"/>
      <c r="E102" s="376">
        <v>5.0000000000000001E-3</v>
      </c>
      <c r="F102" s="390"/>
      <c r="G102" s="377">
        <v>1</v>
      </c>
      <c r="H102" s="377">
        <v>0.2</v>
      </c>
      <c r="I102" s="391"/>
      <c r="J102" s="377">
        <v>0.5</v>
      </c>
      <c r="K102" s="378">
        <v>0.5</v>
      </c>
      <c r="L102" s="415">
        <f>((D102*E102)+(F102*G102*H102)+(I102*J102*K102))/2000</f>
        <v>0</v>
      </c>
      <c r="M102" s="383">
        <f>C102*L102</f>
        <v>0</v>
      </c>
    </row>
    <row r="103" spans="1:32" ht="27" customHeight="1" x14ac:dyDescent="0.15">
      <c r="A103" s="774"/>
      <c r="B103" s="389"/>
      <c r="C103" s="390"/>
      <c r="D103" s="391"/>
      <c r="E103" s="376">
        <v>5.0000000000000001E-3</v>
      </c>
      <c r="F103" s="390"/>
      <c r="G103" s="377">
        <v>1</v>
      </c>
      <c r="H103" s="377">
        <v>0.2</v>
      </c>
      <c r="I103" s="391"/>
      <c r="J103" s="377">
        <v>0.5</v>
      </c>
      <c r="K103" s="378">
        <v>0.5</v>
      </c>
      <c r="L103" s="415">
        <f>((D103*E103)+(F103*G103*H103)+(I103*J103*K103))/2000</f>
        <v>0</v>
      </c>
      <c r="M103" s="383">
        <f>C103*L103</f>
        <v>0</v>
      </c>
    </row>
    <row r="104" spans="1:32" ht="21" customHeight="1" x14ac:dyDescent="0.15">
      <c r="A104" s="774"/>
      <c r="B104" s="778" t="s">
        <v>202</v>
      </c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9"/>
    </row>
    <row r="105" spans="1:32" ht="27" customHeight="1" x14ac:dyDescent="0.15">
      <c r="A105" s="774"/>
      <c r="B105" s="389"/>
      <c r="C105" s="390"/>
      <c r="D105" s="391"/>
      <c r="E105" s="377">
        <v>0.01</v>
      </c>
      <c r="F105" s="392"/>
      <c r="G105" s="377">
        <v>1</v>
      </c>
      <c r="H105" s="377">
        <v>0.1</v>
      </c>
      <c r="I105" s="391"/>
      <c r="J105" s="377">
        <v>0.8</v>
      </c>
      <c r="K105" s="378">
        <v>0.8</v>
      </c>
      <c r="L105" s="415">
        <f>((D105*E105)+(F105*G105*H105)+(I105*J105*K105))/2000</f>
        <v>0</v>
      </c>
      <c r="M105" s="383">
        <f>C105*L105</f>
        <v>0</v>
      </c>
    </row>
    <row r="106" spans="1:32" ht="27" customHeight="1" x14ac:dyDescent="0.15">
      <c r="A106" s="774"/>
      <c r="B106" s="389"/>
      <c r="C106" s="390"/>
      <c r="D106" s="391"/>
      <c r="E106" s="377">
        <v>0.01</v>
      </c>
      <c r="F106" s="392"/>
      <c r="G106" s="377">
        <v>1</v>
      </c>
      <c r="H106" s="377">
        <v>0.1</v>
      </c>
      <c r="I106" s="391"/>
      <c r="J106" s="377">
        <v>0.8</v>
      </c>
      <c r="K106" s="378">
        <v>0.8</v>
      </c>
      <c r="L106" s="415">
        <f>((D106*E106)+(F106*G106*H106)+(I106*J106*K106))/2000</f>
        <v>0</v>
      </c>
      <c r="M106" s="383">
        <f>C106*L106</f>
        <v>0</v>
      </c>
    </row>
    <row r="107" spans="1:32" ht="27" customHeight="1" x14ac:dyDescent="0.15">
      <c r="A107" s="774"/>
      <c r="B107" s="389"/>
      <c r="C107" s="390"/>
      <c r="D107" s="391"/>
      <c r="E107" s="377">
        <v>0.01</v>
      </c>
      <c r="F107" s="392"/>
      <c r="G107" s="377">
        <v>1</v>
      </c>
      <c r="H107" s="377">
        <v>0.1</v>
      </c>
      <c r="I107" s="391"/>
      <c r="J107" s="377">
        <v>0.8</v>
      </c>
      <c r="K107" s="378">
        <v>0.8</v>
      </c>
      <c r="L107" s="415">
        <f>((D107*E107)+(F107*G107*H107)+(I107*J107*K107))/2000</f>
        <v>0</v>
      </c>
      <c r="M107" s="383">
        <f>C107*L107</f>
        <v>0</v>
      </c>
    </row>
    <row r="108" spans="1:32" ht="18.75" customHeight="1" x14ac:dyDescent="0.15">
      <c r="A108" s="774"/>
      <c r="B108" s="778" t="s">
        <v>203</v>
      </c>
      <c r="C108" s="778"/>
      <c r="D108" s="778"/>
      <c r="E108" s="778"/>
      <c r="F108" s="778"/>
      <c r="G108" s="778"/>
      <c r="H108" s="778"/>
      <c r="I108" s="778"/>
      <c r="J108" s="778"/>
      <c r="K108" s="778"/>
      <c r="L108" s="778"/>
      <c r="M108" s="779"/>
    </row>
    <row r="109" spans="1:32" ht="27" customHeight="1" x14ac:dyDescent="0.15">
      <c r="A109" s="774"/>
      <c r="B109" s="389"/>
      <c r="C109" s="390"/>
      <c r="D109" s="391"/>
      <c r="E109" s="377">
        <v>0.01</v>
      </c>
      <c r="F109" s="392"/>
      <c r="G109" s="377">
        <v>1</v>
      </c>
      <c r="H109" s="376">
        <v>5.0000000000000001E-3</v>
      </c>
      <c r="I109" s="391"/>
      <c r="J109" s="377">
        <v>0.8</v>
      </c>
      <c r="K109" s="378">
        <v>0.7</v>
      </c>
      <c r="L109" s="415">
        <f>((D109*E109)+(F109*G109*H109)+(I109*J109*K109))/2000</f>
        <v>0</v>
      </c>
      <c r="M109" s="383">
        <f>C109*L109</f>
        <v>0</v>
      </c>
    </row>
    <row r="110" spans="1:32" ht="27" customHeight="1" x14ac:dyDescent="0.15">
      <c r="A110" s="774"/>
      <c r="B110" s="389"/>
      <c r="C110" s="390"/>
      <c r="D110" s="391"/>
      <c r="E110" s="377">
        <v>0.01</v>
      </c>
      <c r="F110" s="392"/>
      <c r="G110" s="377">
        <v>1</v>
      </c>
      <c r="H110" s="376">
        <v>5.0000000000000001E-3</v>
      </c>
      <c r="I110" s="391"/>
      <c r="J110" s="377">
        <v>0.8</v>
      </c>
      <c r="K110" s="378">
        <v>0.7</v>
      </c>
      <c r="L110" s="415">
        <f>((D110*E110)+(F110*G110*H110)+(I110*J110*K110))/2000</f>
        <v>0</v>
      </c>
      <c r="M110" s="383">
        <f>C110*L110</f>
        <v>0</v>
      </c>
    </row>
    <row r="111" spans="1:32" ht="27" customHeight="1" x14ac:dyDescent="0.15">
      <c r="A111" s="775"/>
      <c r="B111" s="393"/>
      <c r="C111" s="394"/>
      <c r="D111" s="395"/>
      <c r="E111" s="384">
        <v>0.01</v>
      </c>
      <c r="F111" s="396"/>
      <c r="G111" s="384">
        <v>1</v>
      </c>
      <c r="H111" s="385">
        <v>5.0000000000000001E-3</v>
      </c>
      <c r="I111" s="395"/>
      <c r="J111" s="384">
        <v>0.8</v>
      </c>
      <c r="K111" s="386">
        <v>0.7</v>
      </c>
      <c r="L111" s="416">
        <f>((D111*E111)+(F111*G111*H111)+(I111*J111*K111))/2000</f>
        <v>0</v>
      </c>
      <c r="M111" s="387">
        <f>C111*L111</f>
        <v>0</v>
      </c>
    </row>
    <row r="112" spans="1:32" s="382" customFormat="1" ht="18.75" customHeight="1" x14ac:dyDescent="0.15">
      <c r="A112" s="771" t="s">
        <v>397</v>
      </c>
      <c r="B112" s="772"/>
      <c r="C112" s="772"/>
      <c r="D112" s="772"/>
      <c r="E112" s="772"/>
      <c r="F112" s="772"/>
      <c r="G112" s="772"/>
      <c r="H112" s="772"/>
      <c r="I112" s="772"/>
      <c r="J112" s="772"/>
      <c r="K112" s="772"/>
      <c r="L112" s="772"/>
      <c r="M112" s="388">
        <f>SUM(M99:M103)+SUM(M105:M107)+SUM(M109:M111)</f>
        <v>0</v>
      </c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</row>
    <row r="113" spans="1:32" s="374" customFormat="1" ht="23.25" customHeight="1" x14ac:dyDescent="0.15">
      <c r="A113" s="773">
        <f>B13</f>
        <v>7</v>
      </c>
      <c r="B113" s="776" t="s">
        <v>201</v>
      </c>
      <c r="C113" s="776"/>
      <c r="D113" s="776"/>
      <c r="E113" s="776"/>
      <c r="F113" s="776"/>
      <c r="G113" s="776"/>
      <c r="H113" s="776"/>
      <c r="I113" s="776"/>
      <c r="J113" s="776"/>
      <c r="K113" s="776"/>
      <c r="L113" s="776"/>
      <c r="M113" s="777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</row>
    <row r="114" spans="1:32" ht="29.25" customHeight="1" x14ac:dyDescent="0.15">
      <c r="A114" s="774"/>
      <c r="B114" s="389"/>
      <c r="C114" s="390"/>
      <c r="D114" s="391"/>
      <c r="E114" s="376">
        <v>5.0000000000000001E-3</v>
      </c>
      <c r="F114" s="375"/>
      <c r="G114" s="377">
        <v>1</v>
      </c>
      <c r="H114" s="377">
        <v>0.2</v>
      </c>
      <c r="I114" s="391"/>
      <c r="J114" s="377">
        <v>0.5</v>
      </c>
      <c r="K114" s="378">
        <v>0.5</v>
      </c>
      <c r="L114" s="415">
        <f>((D114*E114)+(F114*G114*H114)+(I114*J114*K114))/2000</f>
        <v>0</v>
      </c>
      <c r="M114" s="383">
        <f>C114*L114</f>
        <v>0</v>
      </c>
    </row>
    <row r="115" spans="1:32" ht="27.75" customHeight="1" x14ac:dyDescent="0.15">
      <c r="A115" s="774"/>
      <c r="B115" s="389"/>
      <c r="C115" s="390"/>
      <c r="D115" s="391"/>
      <c r="E115" s="376">
        <v>5.0000000000000001E-3</v>
      </c>
      <c r="F115" s="375"/>
      <c r="G115" s="377">
        <v>1</v>
      </c>
      <c r="H115" s="377">
        <v>0.2</v>
      </c>
      <c r="I115" s="391"/>
      <c r="J115" s="377">
        <v>0.5</v>
      </c>
      <c r="K115" s="378">
        <v>0.5</v>
      </c>
      <c r="L115" s="415">
        <f>((D115*E115)+(F115*G115*H115)+(I115*J115*K115))/2000</f>
        <v>0</v>
      </c>
      <c r="M115" s="383">
        <f>C115*L115</f>
        <v>0</v>
      </c>
    </row>
    <row r="116" spans="1:32" ht="27.75" customHeight="1" x14ac:dyDescent="0.15">
      <c r="A116" s="774"/>
      <c r="B116" s="389"/>
      <c r="C116" s="390"/>
      <c r="D116" s="391"/>
      <c r="E116" s="376">
        <v>5.0000000000000001E-3</v>
      </c>
      <c r="F116" s="375"/>
      <c r="G116" s="377">
        <v>1</v>
      </c>
      <c r="H116" s="377">
        <v>0.2</v>
      </c>
      <c r="I116" s="391"/>
      <c r="J116" s="377">
        <v>0.5</v>
      </c>
      <c r="K116" s="378">
        <v>0.5</v>
      </c>
      <c r="L116" s="415">
        <f>((D116*E116)+(F116*G116*H116)+(I116*J116*K116))/2000</f>
        <v>0</v>
      </c>
      <c r="M116" s="383">
        <f>C116*L116</f>
        <v>0</v>
      </c>
    </row>
    <row r="117" spans="1:32" ht="27.75" customHeight="1" x14ac:dyDescent="0.15">
      <c r="A117" s="774"/>
      <c r="B117" s="389"/>
      <c r="C117" s="390"/>
      <c r="D117" s="391"/>
      <c r="E117" s="376">
        <v>5.0000000000000001E-3</v>
      </c>
      <c r="F117" s="375"/>
      <c r="G117" s="377">
        <v>1</v>
      </c>
      <c r="H117" s="377">
        <v>0.2</v>
      </c>
      <c r="I117" s="391"/>
      <c r="J117" s="377">
        <v>0.5</v>
      </c>
      <c r="K117" s="378">
        <v>0.5</v>
      </c>
      <c r="L117" s="415">
        <f>((D117*E117)+(F117*G117*H117)+(I117*J117*K117))/2000</f>
        <v>0</v>
      </c>
      <c r="M117" s="383">
        <f>C117*L117</f>
        <v>0</v>
      </c>
    </row>
    <row r="118" spans="1:32" ht="27" customHeight="1" x14ac:dyDescent="0.15">
      <c r="A118" s="774"/>
      <c r="B118" s="389"/>
      <c r="C118" s="390"/>
      <c r="D118" s="391"/>
      <c r="E118" s="376">
        <v>5.0000000000000001E-3</v>
      </c>
      <c r="F118" s="375"/>
      <c r="G118" s="377">
        <v>1</v>
      </c>
      <c r="H118" s="377">
        <v>0.2</v>
      </c>
      <c r="I118" s="391"/>
      <c r="J118" s="377">
        <v>0.5</v>
      </c>
      <c r="K118" s="378">
        <v>0.5</v>
      </c>
      <c r="L118" s="415">
        <f>((D118*E118)+(F118*G118*H118)+(I118*J118*K118))/2000</f>
        <v>0</v>
      </c>
      <c r="M118" s="383">
        <f>C118*L118</f>
        <v>0</v>
      </c>
    </row>
    <row r="119" spans="1:32" ht="21" customHeight="1" x14ac:dyDescent="0.15">
      <c r="A119" s="774"/>
      <c r="B119" s="778" t="s">
        <v>202</v>
      </c>
      <c r="C119" s="778"/>
      <c r="D119" s="778"/>
      <c r="E119" s="778"/>
      <c r="F119" s="778"/>
      <c r="G119" s="778"/>
      <c r="H119" s="778"/>
      <c r="I119" s="778"/>
      <c r="J119" s="778"/>
      <c r="K119" s="778"/>
      <c r="L119" s="778"/>
      <c r="M119" s="779"/>
    </row>
    <row r="120" spans="1:32" ht="27" customHeight="1" x14ac:dyDescent="0.15">
      <c r="A120" s="774"/>
      <c r="B120" s="389"/>
      <c r="C120" s="390"/>
      <c r="D120" s="391"/>
      <c r="E120" s="377">
        <v>0.01</v>
      </c>
      <c r="F120" s="392"/>
      <c r="G120" s="377">
        <v>1</v>
      </c>
      <c r="H120" s="377">
        <v>0.1</v>
      </c>
      <c r="I120" s="391"/>
      <c r="J120" s="377">
        <v>0.8</v>
      </c>
      <c r="K120" s="378">
        <v>0.8</v>
      </c>
      <c r="L120" s="415">
        <f>((D120*E120)+(F120*G120*H120)+(I120*J120*K120))/2000</f>
        <v>0</v>
      </c>
      <c r="M120" s="383">
        <f>C120*L120</f>
        <v>0</v>
      </c>
    </row>
    <row r="121" spans="1:32" ht="27" customHeight="1" x14ac:dyDescent="0.15">
      <c r="A121" s="774"/>
      <c r="B121" s="389"/>
      <c r="C121" s="390"/>
      <c r="D121" s="391"/>
      <c r="E121" s="377">
        <v>0.01</v>
      </c>
      <c r="F121" s="392"/>
      <c r="G121" s="377">
        <v>1</v>
      </c>
      <c r="H121" s="377">
        <v>0.1</v>
      </c>
      <c r="I121" s="391"/>
      <c r="J121" s="377">
        <v>0.8</v>
      </c>
      <c r="K121" s="378">
        <v>0.8</v>
      </c>
      <c r="L121" s="415">
        <f>((D121*E121)+(F121*G121*H121)+(I121*J121*K121))/2000</f>
        <v>0</v>
      </c>
      <c r="M121" s="383">
        <f>C121*L121</f>
        <v>0</v>
      </c>
    </row>
    <row r="122" spans="1:32" ht="27" customHeight="1" x14ac:dyDescent="0.15">
      <c r="A122" s="774"/>
      <c r="B122" s="389"/>
      <c r="C122" s="390"/>
      <c r="D122" s="391"/>
      <c r="E122" s="377">
        <v>0.01</v>
      </c>
      <c r="F122" s="392"/>
      <c r="G122" s="377">
        <v>1</v>
      </c>
      <c r="H122" s="377">
        <v>0.1</v>
      </c>
      <c r="I122" s="391"/>
      <c r="J122" s="377">
        <v>0.8</v>
      </c>
      <c r="K122" s="378">
        <v>0.8</v>
      </c>
      <c r="L122" s="415">
        <f>((D122*E122)+(F122*G122*H122)+(I122*J122*K122))/2000</f>
        <v>0</v>
      </c>
      <c r="M122" s="383">
        <f>C122*L122</f>
        <v>0</v>
      </c>
    </row>
    <row r="123" spans="1:32" ht="18.75" customHeight="1" x14ac:dyDescent="0.15">
      <c r="A123" s="774"/>
      <c r="B123" s="778" t="s">
        <v>203</v>
      </c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9"/>
    </row>
    <row r="124" spans="1:32" ht="27" customHeight="1" x14ac:dyDescent="0.15">
      <c r="A124" s="774"/>
      <c r="B124" s="389"/>
      <c r="C124" s="390"/>
      <c r="D124" s="391"/>
      <c r="E124" s="377">
        <v>0.01</v>
      </c>
      <c r="F124" s="392"/>
      <c r="G124" s="377">
        <v>1</v>
      </c>
      <c r="H124" s="376">
        <v>5.0000000000000001E-3</v>
      </c>
      <c r="I124" s="391"/>
      <c r="J124" s="377">
        <v>0.8</v>
      </c>
      <c r="K124" s="378">
        <v>0.7</v>
      </c>
      <c r="L124" s="415">
        <f>((D124*E124)+(F124*G124*H124)+(I124*J124*K124))/2000</f>
        <v>0</v>
      </c>
      <c r="M124" s="383">
        <f>C124*L124</f>
        <v>0</v>
      </c>
    </row>
    <row r="125" spans="1:32" ht="27" customHeight="1" x14ac:dyDescent="0.15">
      <c r="A125" s="774"/>
      <c r="B125" s="389"/>
      <c r="C125" s="390"/>
      <c r="D125" s="391"/>
      <c r="E125" s="377">
        <v>0.01</v>
      </c>
      <c r="F125" s="392"/>
      <c r="G125" s="377">
        <v>1</v>
      </c>
      <c r="H125" s="376">
        <v>5.0000000000000001E-3</v>
      </c>
      <c r="I125" s="391"/>
      <c r="J125" s="377">
        <v>0.8</v>
      </c>
      <c r="K125" s="378">
        <v>0.7</v>
      </c>
      <c r="L125" s="415">
        <f>((D125*E125)+(F125*G125*H125)+(I125*J125*K125))/2000</f>
        <v>0</v>
      </c>
      <c r="M125" s="383">
        <f>C125*L125</f>
        <v>0</v>
      </c>
    </row>
    <row r="126" spans="1:32" ht="27" customHeight="1" x14ac:dyDescent="0.15">
      <c r="A126" s="775"/>
      <c r="B126" s="393"/>
      <c r="C126" s="394"/>
      <c r="D126" s="395"/>
      <c r="E126" s="384">
        <v>0.01</v>
      </c>
      <c r="F126" s="396"/>
      <c r="G126" s="384">
        <v>1</v>
      </c>
      <c r="H126" s="385">
        <v>5.0000000000000001E-3</v>
      </c>
      <c r="I126" s="395"/>
      <c r="J126" s="384">
        <v>0.8</v>
      </c>
      <c r="K126" s="386">
        <v>0.7</v>
      </c>
      <c r="L126" s="416">
        <f>((D126*E126)+(F126*G126*H126)+(I126*J126*K126))/2000</f>
        <v>0</v>
      </c>
      <c r="M126" s="387">
        <f>C126*L126</f>
        <v>0</v>
      </c>
    </row>
    <row r="127" spans="1:32" s="382" customFormat="1" ht="18.75" customHeight="1" x14ac:dyDescent="0.15">
      <c r="A127" s="771" t="s">
        <v>398</v>
      </c>
      <c r="B127" s="772"/>
      <c r="C127" s="772"/>
      <c r="D127" s="772"/>
      <c r="E127" s="772"/>
      <c r="F127" s="772"/>
      <c r="G127" s="772"/>
      <c r="H127" s="772"/>
      <c r="I127" s="772"/>
      <c r="J127" s="772"/>
      <c r="K127" s="772"/>
      <c r="L127" s="772"/>
      <c r="M127" s="388">
        <f>SUM(M114:M118)+SUM(M120:M122)+SUM(M124:M126)</f>
        <v>0</v>
      </c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</row>
    <row r="128" spans="1:32" s="374" customFormat="1" ht="23.25" customHeight="1" x14ac:dyDescent="0.15">
      <c r="A128" s="773">
        <f>B14</f>
        <v>8</v>
      </c>
      <c r="B128" s="776" t="s">
        <v>201</v>
      </c>
      <c r="C128" s="776"/>
      <c r="D128" s="776"/>
      <c r="E128" s="776"/>
      <c r="F128" s="776"/>
      <c r="G128" s="776"/>
      <c r="H128" s="776"/>
      <c r="I128" s="776"/>
      <c r="J128" s="776"/>
      <c r="K128" s="776"/>
      <c r="L128" s="776"/>
      <c r="M128" s="777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</row>
    <row r="129" spans="1:32" ht="29.25" customHeight="1" x14ac:dyDescent="0.15">
      <c r="A129" s="774"/>
      <c r="B129" s="389"/>
      <c r="C129" s="390"/>
      <c r="D129" s="391"/>
      <c r="E129" s="376">
        <v>5.0000000000000001E-3</v>
      </c>
      <c r="F129" s="390"/>
      <c r="G129" s="377">
        <v>1</v>
      </c>
      <c r="H129" s="377">
        <v>0.2</v>
      </c>
      <c r="I129" s="391"/>
      <c r="J129" s="377">
        <v>0.5</v>
      </c>
      <c r="K129" s="378">
        <v>0.5</v>
      </c>
      <c r="L129" s="415">
        <f>((D129*E129)+(F129*G129*H129)+(I129*J129*K129))/2000</f>
        <v>0</v>
      </c>
      <c r="M129" s="383">
        <f>C129*L129</f>
        <v>0</v>
      </c>
    </row>
    <row r="130" spans="1:32" ht="27.75" customHeight="1" x14ac:dyDescent="0.15">
      <c r="A130" s="774"/>
      <c r="B130" s="389"/>
      <c r="C130" s="390"/>
      <c r="D130" s="391"/>
      <c r="E130" s="376">
        <v>5.0000000000000001E-3</v>
      </c>
      <c r="F130" s="390"/>
      <c r="G130" s="377">
        <v>1</v>
      </c>
      <c r="H130" s="377">
        <v>0.2</v>
      </c>
      <c r="I130" s="391"/>
      <c r="J130" s="377">
        <v>0.5</v>
      </c>
      <c r="K130" s="378">
        <v>0.5</v>
      </c>
      <c r="L130" s="415">
        <f>((D130*E130)+(F130*G130*H130)+(I130*J130*K130))/2000</f>
        <v>0</v>
      </c>
      <c r="M130" s="383">
        <f>C130*L130</f>
        <v>0</v>
      </c>
    </row>
    <row r="131" spans="1:32" ht="27.75" customHeight="1" x14ac:dyDescent="0.15">
      <c r="A131" s="774"/>
      <c r="B131" s="389"/>
      <c r="C131" s="390"/>
      <c r="D131" s="391"/>
      <c r="E131" s="376">
        <v>5.0000000000000001E-3</v>
      </c>
      <c r="F131" s="390"/>
      <c r="G131" s="377">
        <v>1</v>
      </c>
      <c r="H131" s="377">
        <v>0.2</v>
      </c>
      <c r="I131" s="391"/>
      <c r="J131" s="377">
        <v>0.5</v>
      </c>
      <c r="K131" s="378">
        <v>0.5</v>
      </c>
      <c r="L131" s="415">
        <f>((D131*E131)+(F131*G131*H131)+(I131*J131*K131))/2000</f>
        <v>0</v>
      </c>
      <c r="M131" s="383">
        <f>C131*L131</f>
        <v>0</v>
      </c>
    </row>
    <row r="132" spans="1:32" ht="27.75" customHeight="1" x14ac:dyDescent="0.15">
      <c r="A132" s="774"/>
      <c r="B132" s="389"/>
      <c r="C132" s="390"/>
      <c r="D132" s="391"/>
      <c r="E132" s="376">
        <v>5.0000000000000001E-3</v>
      </c>
      <c r="F132" s="390"/>
      <c r="G132" s="377">
        <v>1</v>
      </c>
      <c r="H132" s="377">
        <v>0.2</v>
      </c>
      <c r="I132" s="391"/>
      <c r="J132" s="377">
        <v>0.5</v>
      </c>
      <c r="K132" s="378">
        <v>0.5</v>
      </c>
      <c r="L132" s="415">
        <f>((D132*E132)+(F132*G132*H132)+(I132*J132*K132))/2000</f>
        <v>0</v>
      </c>
      <c r="M132" s="383">
        <f>C132*L132</f>
        <v>0</v>
      </c>
    </row>
    <row r="133" spans="1:32" ht="27" customHeight="1" x14ac:dyDescent="0.15">
      <c r="A133" s="774"/>
      <c r="B133" s="389"/>
      <c r="C133" s="390"/>
      <c r="D133" s="391"/>
      <c r="E133" s="376">
        <v>5.0000000000000001E-3</v>
      </c>
      <c r="F133" s="390"/>
      <c r="G133" s="377">
        <v>1</v>
      </c>
      <c r="H133" s="377">
        <v>0.2</v>
      </c>
      <c r="I133" s="391"/>
      <c r="J133" s="377">
        <v>0.5</v>
      </c>
      <c r="K133" s="378">
        <v>0.5</v>
      </c>
      <c r="L133" s="415">
        <f>((D133*E133)+(F133*G133*H133)+(I133*J133*K133))/2000</f>
        <v>0</v>
      </c>
      <c r="M133" s="383">
        <f>C133*L133</f>
        <v>0</v>
      </c>
    </row>
    <row r="134" spans="1:32" ht="21" customHeight="1" x14ac:dyDescent="0.15">
      <c r="A134" s="774"/>
      <c r="B134" s="778" t="s">
        <v>202</v>
      </c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9"/>
    </row>
    <row r="135" spans="1:32" ht="27" customHeight="1" x14ac:dyDescent="0.15">
      <c r="A135" s="774"/>
      <c r="B135" s="389"/>
      <c r="C135" s="390"/>
      <c r="D135" s="391"/>
      <c r="E135" s="377">
        <v>0.01</v>
      </c>
      <c r="F135" s="392"/>
      <c r="G135" s="377">
        <v>1</v>
      </c>
      <c r="H135" s="377">
        <v>0.1</v>
      </c>
      <c r="I135" s="391"/>
      <c r="J135" s="377">
        <v>0.8</v>
      </c>
      <c r="K135" s="378">
        <v>0.8</v>
      </c>
      <c r="L135" s="415">
        <f>((D135*E135)+(F135*G135*H135)+(I135*J135*K135))/2000</f>
        <v>0</v>
      </c>
      <c r="M135" s="383">
        <f>C135*L135</f>
        <v>0</v>
      </c>
    </row>
    <row r="136" spans="1:32" ht="27" customHeight="1" x14ac:dyDescent="0.15">
      <c r="A136" s="774"/>
      <c r="B136" s="389"/>
      <c r="C136" s="390"/>
      <c r="D136" s="391"/>
      <c r="E136" s="377">
        <v>0.01</v>
      </c>
      <c r="F136" s="392"/>
      <c r="G136" s="377">
        <v>1</v>
      </c>
      <c r="H136" s="377">
        <v>0.1</v>
      </c>
      <c r="I136" s="391"/>
      <c r="J136" s="377">
        <v>0.8</v>
      </c>
      <c r="K136" s="378">
        <v>0.8</v>
      </c>
      <c r="L136" s="415">
        <f>((D136*E136)+(F136*G136*H136)+(I136*J136*K136))/2000</f>
        <v>0</v>
      </c>
      <c r="M136" s="383">
        <f>C136*L136</f>
        <v>0</v>
      </c>
    </row>
    <row r="137" spans="1:32" ht="27" customHeight="1" x14ac:dyDescent="0.15">
      <c r="A137" s="774"/>
      <c r="B137" s="389"/>
      <c r="C137" s="390"/>
      <c r="D137" s="391"/>
      <c r="E137" s="377">
        <v>0.01</v>
      </c>
      <c r="F137" s="392"/>
      <c r="G137" s="377">
        <v>1</v>
      </c>
      <c r="H137" s="377">
        <v>0.1</v>
      </c>
      <c r="I137" s="391"/>
      <c r="J137" s="377">
        <v>0.8</v>
      </c>
      <c r="K137" s="378">
        <v>0.8</v>
      </c>
      <c r="L137" s="415">
        <f>((D137*E137)+(F137*G137*H137)+(I137*J137*K137))/2000</f>
        <v>0</v>
      </c>
      <c r="M137" s="383">
        <f>C137*L137</f>
        <v>0</v>
      </c>
    </row>
    <row r="138" spans="1:32" ht="18.75" customHeight="1" x14ac:dyDescent="0.15">
      <c r="A138" s="774"/>
      <c r="B138" s="778" t="s">
        <v>203</v>
      </c>
      <c r="C138" s="778"/>
      <c r="D138" s="778"/>
      <c r="E138" s="778"/>
      <c r="F138" s="778"/>
      <c r="G138" s="778"/>
      <c r="H138" s="778"/>
      <c r="I138" s="778"/>
      <c r="J138" s="778"/>
      <c r="K138" s="778"/>
      <c r="L138" s="778"/>
      <c r="M138" s="779"/>
    </row>
    <row r="139" spans="1:32" ht="27" customHeight="1" x14ac:dyDescent="0.15">
      <c r="A139" s="774"/>
      <c r="B139" s="389"/>
      <c r="C139" s="390"/>
      <c r="D139" s="391"/>
      <c r="E139" s="377">
        <v>0.01</v>
      </c>
      <c r="F139" s="392"/>
      <c r="G139" s="377">
        <v>1</v>
      </c>
      <c r="H139" s="376">
        <v>5.0000000000000001E-3</v>
      </c>
      <c r="I139" s="391"/>
      <c r="J139" s="377">
        <v>0.8</v>
      </c>
      <c r="K139" s="378">
        <v>0.7</v>
      </c>
      <c r="L139" s="415">
        <f>((D139*E139)+(F139*G139*H139)+(I139*J139*K139))/2000</f>
        <v>0</v>
      </c>
      <c r="M139" s="383">
        <f>C139*L139</f>
        <v>0</v>
      </c>
    </row>
    <row r="140" spans="1:32" ht="27" customHeight="1" x14ac:dyDescent="0.15">
      <c r="A140" s="774"/>
      <c r="B140" s="389"/>
      <c r="C140" s="390"/>
      <c r="D140" s="391"/>
      <c r="E140" s="377">
        <v>0.01</v>
      </c>
      <c r="F140" s="392"/>
      <c r="G140" s="377">
        <v>1</v>
      </c>
      <c r="H140" s="376">
        <v>5.0000000000000001E-3</v>
      </c>
      <c r="I140" s="391"/>
      <c r="J140" s="377">
        <v>0.8</v>
      </c>
      <c r="K140" s="378">
        <v>0.7</v>
      </c>
      <c r="L140" s="415">
        <f>((D140*E140)+(F140*G140*H140)+(I140*J140*K140))/2000</f>
        <v>0</v>
      </c>
      <c r="M140" s="383">
        <f>C140*L140</f>
        <v>0</v>
      </c>
    </row>
    <row r="141" spans="1:32" ht="27" customHeight="1" x14ac:dyDescent="0.15">
      <c r="A141" s="775"/>
      <c r="B141" s="393"/>
      <c r="C141" s="394"/>
      <c r="D141" s="395"/>
      <c r="E141" s="384">
        <v>0.01</v>
      </c>
      <c r="F141" s="396"/>
      <c r="G141" s="384">
        <v>1</v>
      </c>
      <c r="H141" s="385">
        <v>5.0000000000000001E-3</v>
      </c>
      <c r="I141" s="395"/>
      <c r="J141" s="384">
        <v>0.8</v>
      </c>
      <c r="K141" s="386">
        <v>0.7</v>
      </c>
      <c r="L141" s="416">
        <f>((D141*E141)+(F141*G141*H141)+(I141*J141*K141))/2000</f>
        <v>0</v>
      </c>
      <c r="M141" s="387">
        <f>C141*L141</f>
        <v>0</v>
      </c>
    </row>
    <row r="142" spans="1:32" s="382" customFormat="1" ht="18.75" customHeight="1" x14ac:dyDescent="0.15">
      <c r="A142" s="771" t="s">
        <v>399</v>
      </c>
      <c r="B142" s="772"/>
      <c r="C142" s="772"/>
      <c r="D142" s="772"/>
      <c r="E142" s="772"/>
      <c r="F142" s="772"/>
      <c r="G142" s="772"/>
      <c r="H142" s="772"/>
      <c r="I142" s="772"/>
      <c r="J142" s="772"/>
      <c r="K142" s="772"/>
      <c r="L142" s="772"/>
      <c r="M142" s="388">
        <f>SUM(M129:M133)+SUM(M135:M137)+SUM(M139:M141)</f>
        <v>0</v>
      </c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</row>
    <row r="143" spans="1:32" s="374" customFormat="1" ht="23.25" customHeight="1" x14ac:dyDescent="0.15">
      <c r="A143" s="773">
        <f>B15</f>
        <v>9</v>
      </c>
      <c r="B143" s="776" t="s">
        <v>201</v>
      </c>
      <c r="C143" s="776"/>
      <c r="D143" s="776"/>
      <c r="E143" s="776"/>
      <c r="F143" s="776"/>
      <c r="G143" s="776"/>
      <c r="H143" s="776"/>
      <c r="I143" s="776"/>
      <c r="J143" s="776"/>
      <c r="K143" s="776"/>
      <c r="L143" s="776"/>
      <c r="M143" s="777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</row>
    <row r="144" spans="1:32" ht="29.25" customHeight="1" x14ac:dyDescent="0.15">
      <c r="A144" s="774"/>
      <c r="B144" s="389"/>
      <c r="C144" s="390"/>
      <c r="D144" s="391"/>
      <c r="E144" s="376">
        <v>5.0000000000000001E-3</v>
      </c>
      <c r="F144" s="390"/>
      <c r="G144" s="377">
        <v>1</v>
      </c>
      <c r="H144" s="377">
        <v>0.2</v>
      </c>
      <c r="I144" s="391"/>
      <c r="J144" s="377">
        <v>0.5</v>
      </c>
      <c r="K144" s="378">
        <v>0.5</v>
      </c>
      <c r="L144" s="415">
        <f>((D144*E144)+(F144*G144*H144)+(I144*J144*K144))/2000</f>
        <v>0</v>
      </c>
      <c r="M144" s="383">
        <f>C144*L144</f>
        <v>0</v>
      </c>
    </row>
    <row r="145" spans="1:32" ht="27.75" customHeight="1" x14ac:dyDescent="0.15">
      <c r="A145" s="774"/>
      <c r="B145" s="389"/>
      <c r="C145" s="390"/>
      <c r="D145" s="391"/>
      <c r="E145" s="376">
        <v>5.0000000000000001E-3</v>
      </c>
      <c r="F145" s="390"/>
      <c r="G145" s="377">
        <v>1</v>
      </c>
      <c r="H145" s="377">
        <v>0.2</v>
      </c>
      <c r="I145" s="391"/>
      <c r="J145" s="377">
        <v>0.5</v>
      </c>
      <c r="K145" s="378">
        <v>0.5</v>
      </c>
      <c r="L145" s="415">
        <f>((D145*E145)+(F145*G145*H145)+(I145*J145*K145))/2000</f>
        <v>0</v>
      </c>
      <c r="M145" s="383">
        <f>C145*L145</f>
        <v>0</v>
      </c>
    </row>
    <row r="146" spans="1:32" ht="27.75" customHeight="1" x14ac:dyDescent="0.15">
      <c r="A146" s="774"/>
      <c r="B146" s="389"/>
      <c r="C146" s="390"/>
      <c r="D146" s="391"/>
      <c r="E146" s="376">
        <v>5.0000000000000001E-3</v>
      </c>
      <c r="F146" s="390"/>
      <c r="G146" s="377">
        <v>1</v>
      </c>
      <c r="H146" s="377">
        <v>0.2</v>
      </c>
      <c r="I146" s="391"/>
      <c r="J146" s="377">
        <v>0.5</v>
      </c>
      <c r="K146" s="378">
        <v>0.5</v>
      </c>
      <c r="L146" s="415">
        <f>((D146*E146)+(F146*G146*H146)+(I146*J146*K146))/2000</f>
        <v>0</v>
      </c>
      <c r="M146" s="383">
        <f>C146*L146</f>
        <v>0</v>
      </c>
    </row>
    <row r="147" spans="1:32" ht="27.75" customHeight="1" x14ac:dyDescent="0.15">
      <c r="A147" s="774"/>
      <c r="B147" s="389"/>
      <c r="C147" s="390"/>
      <c r="D147" s="391"/>
      <c r="E147" s="376">
        <v>5.0000000000000001E-3</v>
      </c>
      <c r="F147" s="390"/>
      <c r="G147" s="377">
        <v>1</v>
      </c>
      <c r="H147" s="377">
        <v>0.2</v>
      </c>
      <c r="I147" s="391"/>
      <c r="J147" s="377">
        <v>0.5</v>
      </c>
      <c r="K147" s="378">
        <v>0.5</v>
      </c>
      <c r="L147" s="415">
        <f>((D147*E147)+(F147*G147*H147)+(I147*J147*K147))/2000</f>
        <v>0</v>
      </c>
      <c r="M147" s="383">
        <f>C147*L147</f>
        <v>0</v>
      </c>
    </row>
    <row r="148" spans="1:32" ht="27" customHeight="1" x14ac:dyDescent="0.15">
      <c r="A148" s="774"/>
      <c r="B148" s="389"/>
      <c r="C148" s="390"/>
      <c r="D148" s="391"/>
      <c r="E148" s="376">
        <v>5.0000000000000001E-3</v>
      </c>
      <c r="F148" s="390"/>
      <c r="G148" s="377">
        <v>1</v>
      </c>
      <c r="H148" s="377">
        <v>0.2</v>
      </c>
      <c r="I148" s="391"/>
      <c r="J148" s="377">
        <v>0.5</v>
      </c>
      <c r="K148" s="378">
        <v>0.5</v>
      </c>
      <c r="L148" s="415">
        <f>((D148*E148)+(F148*G148*H148)+(I148*J148*K148))/2000</f>
        <v>0</v>
      </c>
      <c r="M148" s="383">
        <f>C148*L148</f>
        <v>0</v>
      </c>
    </row>
    <row r="149" spans="1:32" ht="21" customHeight="1" x14ac:dyDescent="0.15">
      <c r="A149" s="774"/>
      <c r="B149" s="778" t="s">
        <v>202</v>
      </c>
      <c r="C149" s="778"/>
      <c r="D149" s="778"/>
      <c r="E149" s="778"/>
      <c r="F149" s="778"/>
      <c r="G149" s="778"/>
      <c r="H149" s="778"/>
      <c r="I149" s="778"/>
      <c r="J149" s="778"/>
      <c r="K149" s="778"/>
      <c r="L149" s="778"/>
      <c r="M149" s="779"/>
    </row>
    <row r="150" spans="1:32" ht="27" customHeight="1" x14ac:dyDescent="0.15">
      <c r="A150" s="774"/>
      <c r="B150" s="389"/>
      <c r="C150" s="390"/>
      <c r="D150" s="391"/>
      <c r="E150" s="377">
        <v>0.01</v>
      </c>
      <c r="F150" s="392"/>
      <c r="G150" s="377">
        <v>1</v>
      </c>
      <c r="H150" s="377">
        <v>0.1</v>
      </c>
      <c r="I150" s="391"/>
      <c r="J150" s="377">
        <v>0.8</v>
      </c>
      <c r="K150" s="378">
        <v>0.8</v>
      </c>
      <c r="L150" s="415">
        <f>((D150*E150)+(F150*G150*H150)+(I150*J150*K150))/2000</f>
        <v>0</v>
      </c>
      <c r="M150" s="383">
        <f>C150*L150</f>
        <v>0</v>
      </c>
    </row>
    <row r="151" spans="1:32" ht="27" customHeight="1" x14ac:dyDescent="0.15">
      <c r="A151" s="774"/>
      <c r="B151" s="389"/>
      <c r="C151" s="390"/>
      <c r="D151" s="391"/>
      <c r="E151" s="377">
        <v>0.01</v>
      </c>
      <c r="F151" s="392"/>
      <c r="G151" s="377">
        <v>1</v>
      </c>
      <c r="H151" s="377">
        <v>0.1</v>
      </c>
      <c r="I151" s="391"/>
      <c r="J151" s="377">
        <v>0.8</v>
      </c>
      <c r="K151" s="378">
        <v>0.8</v>
      </c>
      <c r="L151" s="415">
        <f>((D151*E151)+(F151*G151*H151)+(I151*J151*K151))/2000</f>
        <v>0</v>
      </c>
      <c r="M151" s="383">
        <f>C151*L151</f>
        <v>0</v>
      </c>
    </row>
    <row r="152" spans="1:32" ht="27" customHeight="1" x14ac:dyDescent="0.15">
      <c r="A152" s="774"/>
      <c r="B152" s="389"/>
      <c r="C152" s="390"/>
      <c r="D152" s="391"/>
      <c r="E152" s="377">
        <v>0.01</v>
      </c>
      <c r="F152" s="392"/>
      <c r="G152" s="377">
        <v>1</v>
      </c>
      <c r="H152" s="377">
        <v>0.1</v>
      </c>
      <c r="I152" s="391"/>
      <c r="J152" s="377">
        <v>0.8</v>
      </c>
      <c r="K152" s="378">
        <v>0.8</v>
      </c>
      <c r="L152" s="415">
        <f>((D152*E152)+(F152*G152*H152)+(I152*J152*K152))/2000</f>
        <v>0</v>
      </c>
      <c r="M152" s="383">
        <f>C152*L152</f>
        <v>0</v>
      </c>
    </row>
    <row r="153" spans="1:32" ht="18.75" customHeight="1" x14ac:dyDescent="0.15">
      <c r="A153" s="774"/>
      <c r="B153" s="778" t="s">
        <v>203</v>
      </c>
      <c r="C153" s="778"/>
      <c r="D153" s="778"/>
      <c r="E153" s="778"/>
      <c r="F153" s="778"/>
      <c r="G153" s="778"/>
      <c r="H153" s="778"/>
      <c r="I153" s="778"/>
      <c r="J153" s="778"/>
      <c r="K153" s="778"/>
      <c r="L153" s="778"/>
      <c r="M153" s="779"/>
    </row>
    <row r="154" spans="1:32" ht="27" customHeight="1" x14ac:dyDescent="0.15">
      <c r="A154" s="774"/>
      <c r="B154" s="389"/>
      <c r="C154" s="390"/>
      <c r="D154" s="391"/>
      <c r="E154" s="377">
        <v>0.01</v>
      </c>
      <c r="F154" s="392"/>
      <c r="G154" s="377">
        <v>1</v>
      </c>
      <c r="H154" s="376">
        <v>5.0000000000000001E-3</v>
      </c>
      <c r="I154" s="391"/>
      <c r="J154" s="377">
        <v>0.8</v>
      </c>
      <c r="K154" s="378">
        <v>0.7</v>
      </c>
      <c r="L154" s="415">
        <f>((D154*E154)+(F154*G154*H154)+(I154*J154*K154))/2000</f>
        <v>0</v>
      </c>
      <c r="M154" s="383">
        <f>C154*L154</f>
        <v>0</v>
      </c>
    </row>
    <row r="155" spans="1:32" ht="27" customHeight="1" x14ac:dyDescent="0.15">
      <c r="A155" s="774"/>
      <c r="B155" s="389"/>
      <c r="C155" s="390"/>
      <c r="D155" s="391"/>
      <c r="E155" s="377">
        <v>0.01</v>
      </c>
      <c r="F155" s="392"/>
      <c r="G155" s="377">
        <v>1</v>
      </c>
      <c r="H155" s="376">
        <v>5.0000000000000001E-3</v>
      </c>
      <c r="I155" s="391"/>
      <c r="J155" s="377">
        <v>0.8</v>
      </c>
      <c r="K155" s="378">
        <v>0.7</v>
      </c>
      <c r="L155" s="415">
        <f>((D155*E155)+(F155*G155*H155)+(I155*J155*K155))/2000</f>
        <v>0</v>
      </c>
      <c r="M155" s="383">
        <f>C155*L155</f>
        <v>0</v>
      </c>
    </row>
    <row r="156" spans="1:32" ht="27" customHeight="1" x14ac:dyDescent="0.15">
      <c r="A156" s="775"/>
      <c r="B156" s="393"/>
      <c r="C156" s="394"/>
      <c r="D156" s="395"/>
      <c r="E156" s="384">
        <v>0.01</v>
      </c>
      <c r="F156" s="396"/>
      <c r="G156" s="384">
        <v>1</v>
      </c>
      <c r="H156" s="385">
        <v>5.0000000000000001E-3</v>
      </c>
      <c r="I156" s="395"/>
      <c r="J156" s="384">
        <v>0.8</v>
      </c>
      <c r="K156" s="386">
        <v>0.7</v>
      </c>
      <c r="L156" s="416">
        <f>((D156*E156)+(F156*G156*H156)+(I156*J156*K156))/2000</f>
        <v>0</v>
      </c>
      <c r="M156" s="387">
        <f>C156*L156</f>
        <v>0</v>
      </c>
    </row>
    <row r="157" spans="1:32" s="382" customFormat="1" ht="18.75" customHeight="1" x14ac:dyDescent="0.15">
      <c r="A157" s="771" t="s">
        <v>400</v>
      </c>
      <c r="B157" s="772"/>
      <c r="C157" s="772"/>
      <c r="D157" s="772"/>
      <c r="E157" s="772"/>
      <c r="F157" s="772"/>
      <c r="G157" s="772"/>
      <c r="H157" s="772"/>
      <c r="I157" s="772"/>
      <c r="J157" s="772"/>
      <c r="K157" s="772"/>
      <c r="L157" s="772"/>
      <c r="M157" s="388">
        <f>SUM(M144:M148)+SUM(M150:M152)+SUM(M154:M156)</f>
        <v>0</v>
      </c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</row>
    <row r="158" spans="1:32" s="374" customFormat="1" ht="23.25" customHeight="1" x14ac:dyDescent="0.15">
      <c r="A158" s="773">
        <f>B16</f>
        <v>10</v>
      </c>
      <c r="B158" s="776" t="s">
        <v>201</v>
      </c>
      <c r="C158" s="776"/>
      <c r="D158" s="776"/>
      <c r="E158" s="776"/>
      <c r="F158" s="776"/>
      <c r="G158" s="776"/>
      <c r="H158" s="776"/>
      <c r="I158" s="776"/>
      <c r="J158" s="776"/>
      <c r="K158" s="776"/>
      <c r="L158" s="776"/>
      <c r="M158" s="777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</row>
    <row r="159" spans="1:32" ht="29.25" customHeight="1" x14ac:dyDescent="0.15">
      <c r="A159" s="774"/>
      <c r="B159" s="389"/>
      <c r="C159" s="390"/>
      <c r="D159" s="391"/>
      <c r="E159" s="376">
        <v>5.0000000000000001E-3</v>
      </c>
      <c r="F159" s="390"/>
      <c r="G159" s="377">
        <v>1</v>
      </c>
      <c r="H159" s="377">
        <v>0.2</v>
      </c>
      <c r="I159" s="391"/>
      <c r="J159" s="377">
        <v>0.5</v>
      </c>
      <c r="K159" s="378">
        <v>0.5</v>
      </c>
      <c r="L159" s="415">
        <f>((D159*E159)+(F159*G159*H159)+(I159*J159*K159))/2000</f>
        <v>0</v>
      </c>
      <c r="M159" s="383">
        <f>C159*L159</f>
        <v>0</v>
      </c>
    </row>
    <row r="160" spans="1:32" ht="27.75" customHeight="1" x14ac:dyDescent="0.15">
      <c r="A160" s="774"/>
      <c r="B160" s="389"/>
      <c r="C160" s="390"/>
      <c r="D160" s="391"/>
      <c r="E160" s="376">
        <v>5.0000000000000001E-3</v>
      </c>
      <c r="F160" s="390"/>
      <c r="G160" s="377">
        <v>1</v>
      </c>
      <c r="H160" s="377">
        <v>0.2</v>
      </c>
      <c r="I160" s="391"/>
      <c r="J160" s="377">
        <v>0.5</v>
      </c>
      <c r="K160" s="378">
        <v>0.5</v>
      </c>
      <c r="L160" s="415">
        <f>((D160*E160)+(F160*G160*H160)+(I160*J160*K160))/2000</f>
        <v>0</v>
      </c>
      <c r="M160" s="383">
        <f>C160*L160</f>
        <v>0</v>
      </c>
    </row>
    <row r="161" spans="1:32" ht="27.75" customHeight="1" x14ac:dyDescent="0.15">
      <c r="A161" s="774"/>
      <c r="B161" s="389"/>
      <c r="C161" s="390"/>
      <c r="D161" s="391"/>
      <c r="E161" s="376">
        <v>5.0000000000000001E-3</v>
      </c>
      <c r="F161" s="390"/>
      <c r="G161" s="377">
        <v>1</v>
      </c>
      <c r="H161" s="377">
        <v>0.2</v>
      </c>
      <c r="I161" s="391"/>
      <c r="J161" s="377">
        <v>0.5</v>
      </c>
      <c r="K161" s="378">
        <v>0.5</v>
      </c>
      <c r="L161" s="415">
        <f>((D161*E161)+(F161*G161*H161)+(I161*J161*K161))/2000</f>
        <v>0</v>
      </c>
      <c r="M161" s="383">
        <f>C161*L161</f>
        <v>0</v>
      </c>
    </row>
    <row r="162" spans="1:32" ht="27.75" customHeight="1" x14ac:dyDescent="0.15">
      <c r="A162" s="774"/>
      <c r="B162" s="389"/>
      <c r="C162" s="390"/>
      <c r="D162" s="391"/>
      <c r="E162" s="376">
        <v>5.0000000000000001E-3</v>
      </c>
      <c r="F162" s="390"/>
      <c r="G162" s="377">
        <v>1</v>
      </c>
      <c r="H162" s="377">
        <v>0.2</v>
      </c>
      <c r="I162" s="391"/>
      <c r="J162" s="377">
        <v>0.5</v>
      </c>
      <c r="K162" s="378">
        <v>0.5</v>
      </c>
      <c r="L162" s="415">
        <f>((D162*E162)+(F162*G162*H162)+(I162*J162*K162))/2000</f>
        <v>0</v>
      </c>
      <c r="M162" s="383">
        <f>C162*L162</f>
        <v>0</v>
      </c>
    </row>
    <row r="163" spans="1:32" ht="27" customHeight="1" x14ac:dyDescent="0.15">
      <c r="A163" s="774"/>
      <c r="B163" s="389"/>
      <c r="C163" s="390"/>
      <c r="D163" s="391"/>
      <c r="E163" s="376">
        <v>5.0000000000000001E-3</v>
      </c>
      <c r="F163" s="390"/>
      <c r="G163" s="377">
        <v>1</v>
      </c>
      <c r="H163" s="377">
        <v>0.2</v>
      </c>
      <c r="I163" s="391"/>
      <c r="J163" s="377">
        <v>0.5</v>
      </c>
      <c r="K163" s="378">
        <v>0.5</v>
      </c>
      <c r="L163" s="415">
        <f>((D163*E163)+(F163*G163*H163)+(I163*J163*K163))/2000</f>
        <v>0</v>
      </c>
      <c r="M163" s="383">
        <f>C163*L163</f>
        <v>0</v>
      </c>
    </row>
    <row r="164" spans="1:32" ht="21" customHeight="1" x14ac:dyDescent="0.15">
      <c r="A164" s="774"/>
      <c r="B164" s="778" t="s">
        <v>202</v>
      </c>
      <c r="C164" s="778"/>
      <c r="D164" s="778"/>
      <c r="E164" s="778"/>
      <c r="F164" s="778"/>
      <c r="G164" s="778"/>
      <c r="H164" s="778"/>
      <c r="I164" s="778"/>
      <c r="J164" s="778"/>
      <c r="K164" s="778"/>
      <c r="L164" s="778"/>
      <c r="M164" s="779"/>
    </row>
    <row r="165" spans="1:32" ht="27" customHeight="1" x14ac:dyDescent="0.15">
      <c r="A165" s="774"/>
      <c r="B165" s="389"/>
      <c r="C165" s="390"/>
      <c r="D165" s="391"/>
      <c r="E165" s="377">
        <v>0.01</v>
      </c>
      <c r="F165" s="392"/>
      <c r="G165" s="377">
        <v>1</v>
      </c>
      <c r="H165" s="377">
        <v>0.1</v>
      </c>
      <c r="I165" s="391"/>
      <c r="J165" s="377">
        <v>0.8</v>
      </c>
      <c r="K165" s="378">
        <v>0.8</v>
      </c>
      <c r="L165" s="415">
        <f>((D165*E165)+(F165*G165*H165)+(I165*J165*K165))/2000</f>
        <v>0</v>
      </c>
      <c r="M165" s="383">
        <f>C165*L165</f>
        <v>0</v>
      </c>
    </row>
    <row r="166" spans="1:32" ht="27" customHeight="1" x14ac:dyDescent="0.15">
      <c r="A166" s="774"/>
      <c r="B166" s="389"/>
      <c r="C166" s="390"/>
      <c r="D166" s="391"/>
      <c r="E166" s="377">
        <v>0.01</v>
      </c>
      <c r="F166" s="392"/>
      <c r="G166" s="377">
        <v>1</v>
      </c>
      <c r="H166" s="377">
        <v>0.1</v>
      </c>
      <c r="I166" s="391"/>
      <c r="J166" s="377">
        <v>0.8</v>
      </c>
      <c r="K166" s="378">
        <v>0.8</v>
      </c>
      <c r="L166" s="415">
        <f>((D166*E166)+(F166*G166*H166)+(I166*J166*K166))/2000</f>
        <v>0</v>
      </c>
      <c r="M166" s="383">
        <f>C166*L166</f>
        <v>0</v>
      </c>
    </row>
    <row r="167" spans="1:32" ht="27" customHeight="1" x14ac:dyDescent="0.15">
      <c r="A167" s="774"/>
      <c r="B167" s="389"/>
      <c r="C167" s="390"/>
      <c r="D167" s="391"/>
      <c r="E167" s="377">
        <v>0.01</v>
      </c>
      <c r="F167" s="392"/>
      <c r="G167" s="377">
        <v>1</v>
      </c>
      <c r="H167" s="377">
        <v>0.1</v>
      </c>
      <c r="I167" s="391"/>
      <c r="J167" s="377">
        <v>0.8</v>
      </c>
      <c r="K167" s="378">
        <v>0.8</v>
      </c>
      <c r="L167" s="415">
        <f>((D167*E167)+(F167*G167*H167)+(I167*J167*K167))/2000</f>
        <v>0</v>
      </c>
      <c r="M167" s="383">
        <f>C167*L167</f>
        <v>0</v>
      </c>
    </row>
    <row r="168" spans="1:32" ht="18.75" customHeight="1" x14ac:dyDescent="0.15">
      <c r="A168" s="774"/>
      <c r="B168" s="778" t="s">
        <v>203</v>
      </c>
      <c r="C168" s="778"/>
      <c r="D168" s="778"/>
      <c r="E168" s="778"/>
      <c r="F168" s="778"/>
      <c r="G168" s="778"/>
      <c r="H168" s="778"/>
      <c r="I168" s="778"/>
      <c r="J168" s="778"/>
      <c r="K168" s="778"/>
      <c r="L168" s="778"/>
      <c r="M168" s="779"/>
    </row>
    <row r="169" spans="1:32" ht="27" customHeight="1" x14ac:dyDescent="0.15">
      <c r="A169" s="774"/>
      <c r="B169" s="389"/>
      <c r="C169" s="390"/>
      <c r="D169" s="391"/>
      <c r="E169" s="377">
        <v>0.01</v>
      </c>
      <c r="F169" s="392"/>
      <c r="G169" s="377">
        <v>1</v>
      </c>
      <c r="H169" s="376">
        <v>5.0000000000000001E-3</v>
      </c>
      <c r="I169" s="391"/>
      <c r="J169" s="377">
        <v>0.8</v>
      </c>
      <c r="K169" s="378">
        <v>0.7</v>
      </c>
      <c r="L169" s="415">
        <f>((D169*E169)+(F169*G169*H169)+(I169*J169*K169))/2000</f>
        <v>0</v>
      </c>
      <c r="M169" s="383">
        <f>C169*L169</f>
        <v>0</v>
      </c>
    </row>
    <row r="170" spans="1:32" ht="27" customHeight="1" x14ac:dyDescent="0.15">
      <c r="A170" s="774"/>
      <c r="B170" s="389"/>
      <c r="C170" s="390"/>
      <c r="D170" s="391"/>
      <c r="E170" s="377">
        <v>0.01</v>
      </c>
      <c r="F170" s="392"/>
      <c r="G170" s="377">
        <v>1</v>
      </c>
      <c r="H170" s="376">
        <v>5.0000000000000001E-3</v>
      </c>
      <c r="I170" s="391"/>
      <c r="J170" s="377">
        <v>0.8</v>
      </c>
      <c r="K170" s="378">
        <v>0.7</v>
      </c>
      <c r="L170" s="415">
        <f>((D170*E170)+(F170*G170*H170)+(I170*J170*K170))/2000</f>
        <v>0</v>
      </c>
      <c r="M170" s="383">
        <f>C170*L170</f>
        <v>0</v>
      </c>
    </row>
    <row r="171" spans="1:32" ht="27" customHeight="1" x14ac:dyDescent="0.15">
      <c r="A171" s="775"/>
      <c r="B171" s="393"/>
      <c r="C171" s="394"/>
      <c r="D171" s="395"/>
      <c r="E171" s="384">
        <v>0.01</v>
      </c>
      <c r="F171" s="396"/>
      <c r="G171" s="384">
        <v>1</v>
      </c>
      <c r="H171" s="385">
        <v>5.0000000000000001E-3</v>
      </c>
      <c r="I171" s="395"/>
      <c r="J171" s="384">
        <v>0.8</v>
      </c>
      <c r="K171" s="386">
        <v>0.7</v>
      </c>
      <c r="L171" s="416">
        <f>((D171*E171)+(F171*G171*H171)+(I171*J171*K171))/2000</f>
        <v>0</v>
      </c>
      <c r="M171" s="387">
        <f>C171*L171</f>
        <v>0</v>
      </c>
    </row>
    <row r="172" spans="1:32" s="382" customFormat="1" ht="18.75" customHeight="1" x14ac:dyDescent="0.15">
      <c r="A172" s="771" t="s">
        <v>401</v>
      </c>
      <c r="B172" s="772"/>
      <c r="C172" s="772"/>
      <c r="D172" s="772"/>
      <c r="E172" s="772"/>
      <c r="F172" s="772"/>
      <c r="G172" s="772"/>
      <c r="H172" s="772"/>
      <c r="I172" s="772"/>
      <c r="J172" s="772"/>
      <c r="K172" s="772"/>
      <c r="L172" s="772"/>
      <c r="M172" s="388">
        <f>SUM(M159:M163)+SUM(M165:M167)+SUM(M169:M171)</f>
        <v>0</v>
      </c>
      <c r="N172" s="346"/>
      <c r="O172" s="346"/>
      <c r="P172" s="346"/>
      <c r="Q172" s="346"/>
      <c r="R172" s="346"/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  <c r="AF172" s="346"/>
    </row>
  </sheetData>
  <mergeCells count="78">
    <mergeCell ref="B38:M38"/>
    <mergeCell ref="B78:M78"/>
    <mergeCell ref="C21:C22"/>
    <mergeCell ref="D21:D22"/>
    <mergeCell ref="A21:A22"/>
    <mergeCell ref="A37:L37"/>
    <mergeCell ref="A23:A36"/>
    <mergeCell ref="B23:M23"/>
    <mergeCell ref="B29:M29"/>
    <mergeCell ref="B33:M33"/>
    <mergeCell ref="A67:L67"/>
    <mergeCell ref="B68:M68"/>
    <mergeCell ref="K21:K22"/>
    <mergeCell ref="L21:L22"/>
    <mergeCell ref="B74:M74"/>
    <mergeCell ref="B63:M63"/>
    <mergeCell ref="B1:F1"/>
    <mergeCell ref="E21:E22"/>
    <mergeCell ref="J21:J22"/>
    <mergeCell ref="F21:F22"/>
    <mergeCell ref="G1:O1"/>
    <mergeCell ref="I9:M9"/>
    <mergeCell ref="I10:M10"/>
    <mergeCell ref="B5:C5"/>
    <mergeCell ref="E5:F5"/>
    <mergeCell ref="H5:M5"/>
    <mergeCell ref="I11:M11"/>
    <mergeCell ref="I12:M12"/>
    <mergeCell ref="I13:M13"/>
    <mergeCell ref="I14:M14"/>
    <mergeCell ref="G21:G22"/>
    <mergeCell ref="I6:M6"/>
    <mergeCell ref="I7:M7"/>
    <mergeCell ref="I8:M8"/>
    <mergeCell ref="I15:M15"/>
    <mergeCell ref="I16:M16"/>
    <mergeCell ref="A83:A96"/>
    <mergeCell ref="B83:M83"/>
    <mergeCell ref="B89:M89"/>
    <mergeCell ref="B93:M93"/>
    <mergeCell ref="M21:M22"/>
    <mergeCell ref="I21:I22"/>
    <mergeCell ref="B21:B22"/>
    <mergeCell ref="A82:L82"/>
    <mergeCell ref="A38:A51"/>
    <mergeCell ref="A53:A66"/>
    <mergeCell ref="A68:A81"/>
    <mergeCell ref="B59:M59"/>
    <mergeCell ref="B44:M44"/>
    <mergeCell ref="B48:M48"/>
    <mergeCell ref="A52:L52"/>
    <mergeCell ref="B53:M53"/>
    <mergeCell ref="A112:L112"/>
    <mergeCell ref="A113:A126"/>
    <mergeCell ref="B113:M113"/>
    <mergeCell ref="B119:M119"/>
    <mergeCell ref="B123:M123"/>
    <mergeCell ref="A97:L97"/>
    <mergeCell ref="A98:A111"/>
    <mergeCell ref="B98:M98"/>
    <mergeCell ref="B104:M104"/>
    <mergeCell ref="B108:M108"/>
    <mergeCell ref="A142:L142"/>
    <mergeCell ref="A143:A156"/>
    <mergeCell ref="B143:M143"/>
    <mergeCell ref="B149:M149"/>
    <mergeCell ref="B153:M153"/>
    <mergeCell ref="A127:L127"/>
    <mergeCell ref="A128:A141"/>
    <mergeCell ref="B128:M128"/>
    <mergeCell ref="B134:M134"/>
    <mergeCell ref="B138:M138"/>
    <mergeCell ref="A172:L172"/>
    <mergeCell ref="A157:L157"/>
    <mergeCell ref="A158:A171"/>
    <mergeCell ref="B158:M158"/>
    <mergeCell ref="B164:M164"/>
    <mergeCell ref="B168:M168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80"/>
  <sheetViews>
    <sheetView workbookViewId="0">
      <selection activeCell="H1" sqref="H1"/>
    </sheetView>
  </sheetViews>
  <sheetFormatPr baseColWidth="10" defaultColWidth="8.83203125" defaultRowHeight="13" x14ac:dyDescent="0.15"/>
  <cols>
    <col min="1" max="1" width="16.1640625" customWidth="1"/>
    <col min="2" max="2" width="21.83203125" customWidth="1"/>
    <col min="3" max="3" width="47.83203125" customWidth="1"/>
    <col min="4" max="4" width="11.5" style="32" customWidth="1"/>
    <col min="5" max="7" width="5.5" style="27" customWidth="1"/>
    <col min="8" max="20" width="9.1640625" style="27" customWidth="1"/>
  </cols>
  <sheetData>
    <row r="1" spans="1:8" ht="16" x14ac:dyDescent="0.2">
      <c r="A1" s="42" t="s">
        <v>745</v>
      </c>
      <c r="B1" s="27"/>
      <c r="C1" s="27"/>
      <c r="D1" s="43"/>
    </row>
    <row r="2" spans="1:8" ht="16" x14ac:dyDescent="0.2">
      <c r="A2" s="458" t="s">
        <v>743</v>
      </c>
      <c r="B2" s="27"/>
      <c r="C2" s="27"/>
      <c r="D2" s="43"/>
    </row>
    <row r="3" spans="1:8" ht="16" x14ac:dyDescent="0.2">
      <c r="A3" s="458" t="s">
        <v>742</v>
      </c>
      <c r="B3" s="27"/>
      <c r="C3" s="27"/>
      <c r="D3" s="43"/>
    </row>
    <row r="4" spans="1:8" ht="16" x14ac:dyDescent="0.15">
      <c r="A4" s="801" t="s">
        <v>371</v>
      </c>
      <c r="B4" s="801"/>
      <c r="C4" s="801"/>
      <c r="D4" s="801"/>
    </row>
    <row r="5" spans="1:8" ht="51" x14ac:dyDescent="0.2">
      <c r="A5" s="397" t="s">
        <v>326</v>
      </c>
      <c r="B5" s="397" t="s">
        <v>325</v>
      </c>
      <c r="C5" s="397" t="s">
        <v>324</v>
      </c>
      <c r="D5" s="398" t="s">
        <v>323</v>
      </c>
    </row>
    <row r="6" spans="1:8" ht="16" x14ac:dyDescent="0.2">
      <c r="A6" s="399" t="s">
        <v>210</v>
      </c>
      <c r="B6" s="55"/>
      <c r="C6" s="55"/>
      <c r="D6" s="474"/>
    </row>
    <row r="7" spans="1:8" x14ac:dyDescent="0.15">
      <c r="A7" s="66" t="s">
        <v>217</v>
      </c>
      <c r="B7" s="66" t="s">
        <v>218</v>
      </c>
      <c r="C7" s="66" t="s">
        <v>219</v>
      </c>
      <c r="D7" s="475">
        <v>11700</v>
      </c>
    </row>
    <row r="8" spans="1:8" x14ac:dyDescent="0.15">
      <c r="A8" s="66" t="s">
        <v>220</v>
      </c>
      <c r="B8" s="66" t="s">
        <v>221</v>
      </c>
      <c r="C8" s="66" t="s">
        <v>222</v>
      </c>
      <c r="D8" s="476">
        <v>150</v>
      </c>
    </row>
    <row r="9" spans="1:8" x14ac:dyDescent="0.15">
      <c r="A9" s="66" t="s">
        <v>223</v>
      </c>
      <c r="B9" s="66" t="s">
        <v>224</v>
      </c>
      <c r="C9" s="66" t="s">
        <v>225</v>
      </c>
      <c r="D9" s="404">
        <v>1300</v>
      </c>
    </row>
    <row r="10" spans="1:8" x14ac:dyDescent="0.15">
      <c r="A10" s="66" t="s">
        <v>226</v>
      </c>
      <c r="B10" s="66" t="s">
        <v>227</v>
      </c>
      <c r="C10" s="66" t="s">
        <v>228</v>
      </c>
      <c r="D10" s="475">
        <v>2800</v>
      </c>
    </row>
    <row r="11" spans="1:8" x14ac:dyDescent="0.15">
      <c r="A11" s="66" t="s">
        <v>229</v>
      </c>
      <c r="B11" s="66" t="s">
        <v>230</v>
      </c>
      <c r="C11" s="66" t="s">
        <v>231</v>
      </c>
      <c r="D11" s="475">
        <v>1000</v>
      </c>
    </row>
    <row r="12" spans="1:8" x14ac:dyDescent="0.15">
      <c r="A12" s="66" t="s">
        <v>61</v>
      </c>
      <c r="B12" s="66" t="s">
        <v>230</v>
      </c>
      <c r="C12" s="66" t="s">
        <v>232</v>
      </c>
      <c r="D12" s="475">
        <v>1300</v>
      </c>
    </row>
    <row r="13" spans="1:8" x14ac:dyDescent="0.15">
      <c r="A13" s="66" t="s">
        <v>233</v>
      </c>
      <c r="B13" s="66" t="s">
        <v>234</v>
      </c>
      <c r="C13" s="66" t="s">
        <v>235</v>
      </c>
      <c r="D13" s="475">
        <v>300</v>
      </c>
    </row>
    <row r="14" spans="1:8" x14ac:dyDescent="0.15">
      <c r="A14" s="66" t="s">
        <v>236</v>
      </c>
      <c r="B14" s="66" t="s">
        <v>234</v>
      </c>
      <c r="C14" s="66" t="s">
        <v>237</v>
      </c>
      <c r="D14" s="475">
        <v>3800</v>
      </c>
      <c r="H14" s="480"/>
    </row>
    <row r="15" spans="1:8" x14ac:dyDescent="0.15">
      <c r="A15" s="66" t="s">
        <v>238</v>
      </c>
      <c r="B15" s="66" t="s">
        <v>230</v>
      </c>
      <c r="C15" s="66" t="s">
        <v>247</v>
      </c>
      <c r="D15" s="476" t="s">
        <v>246</v>
      </c>
    </row>
    <row r="16" spans="1:8" x14ac:dyDescent="0.15">
      <c r="A16" s="66" t="s">
        <v>239</v>
      </c>
      <c r="B16" s="66" t="s">
        <v>240</v>
      </c>
      <c r="C16" s="66" t="s">
        <v>241</v>
      </c>
      <c r="D16" s="475">
        <v>140</v>
      </c>
    </row>
    <row r="17" spans="1:8" x14ac:dyDescent="0.15">
      <c r="A17" s="66" t="s">
        <v>242</v>
      </c>
      <c r="B17" s="66" t="s">
        <v>243</v>
      </c>
      <c r="C17" s="66" t="s">
        <v>244</v>
      </c>
      <c r="D17" s="476" t="s">
        <v>245</v>
      </c>
    </row>
    <row r="18" spans="1:8" x14ac:dyDescent="0.15">
      <c r="A18" s="66" t="s">
        <v>248</v>
      </c>
      <c r="B18" s="66" t="s">
        <v>249</v>
      </c>
      <c r="C18" s="66" t="s">
        <v>250</v>
      </c>
      <c r="D18" s="475">
        <v>2900</v>
      </c>
    </row>
    <row r="19" spans="1:8" x14ac:dyDescent="0.15">
      <c r="A19" s="66" t="s">
        <v>251</v>
      </c>
      <c r="B19" s="66" t="s">
        <v>252</v>
      </c>
      <c r="C19" s="66" t="s">
        <v>253</v>
      </c>
      <c r="D19" s="476" t="s">
        <v>254</v>
      </c>
    </row>
    <row r="20" spans="1:8" x14ac:dyDescent="0.15">
      <c r="A20" s="66" t="s">
        <v>255</v>
      </c>
      <c r="B20" s="66" t="s">
        <v>252</v>
      </c>
      <c r="C20" s="66" t="s">
        <v>256</v>
      </c>
      <c r="D20" s="476" t="s">
        <v>257</v>
      </c>
    </row>
    <row r="21" spans="1:8" x14ac:dyDescent="0.15">
      <c r="A21" s="66" t="s">
        <v>62</v>
      </c>
      <c r="B21" s="66" t="s">
        <v>252</v>
      </c>
      <c r="C21" s="66" t="s">
        <v>258</v>
      </c>
      <c r="D21" s="475">
        <v>6300</v>
      </c>
    </row>
    <row r="22" spans="1:8" x14ac:dyDescent="0.15">
      <c r="A22" s="66" t="s">
        <v>259</v>
      </c>
      <c r="B22" s="66" t="s">
        <v>260</v>
      </c>
      <c r="C22" s="66" t="s">
        <v>261</v>
      </c>
      <c r="D22" s="476">
        <v>560</v>
      </c>
    </row>
    <row r="23" spans="1:8" x14ac:dyDescent="0.15">
      <c r="A23" s="66" t="s">
        <v>262</v>
      </c>
      <c r="B23" s="66" t="s">
        <v>263</v>
      </c>
      <c r="C23" s="66" t="s">
        <v>264</v>
      </c>
      <c r="D23" s="476" t="s">
        <v>265</v>
      </c>
    </row>
    <row r="24" spans="1:8" x14ac:dyDescent="0.15">
      <c r="A24" s="66" t="s">
        <v>266</v>
      </c>
      <c r="B24" s="66" t="s">
        <v>267</v>
      </c>
      <c r="C24" s="66" t="s">
        <v>268</v>
      </c>
      <c r="D24" s="476" t="s">
        <v>269</v>
      </c>
    </row>
    <row r="25" spans="1:8" ht="16" x14ac:dyDescent="0.2">
      <c r="A25" s="399" t="s">
        <v>211</v>
      </c>
      <c r="B25" s="55"/>
      <c r="C25" s="55"/>
      <c r="D25" s="36"/>
    </row>
    <row r="26" spans="1:8" x14ac:dyDescent="0.15">
      <c r="A26" s="66" t="s">
        <v>270</v>
      </c>
      <c r="B26" s="66" t="s">
        <v>271</v>
      </c>
      <c r="C26" s="66" t="s">
        <v>272</v>
      </c>
      <c r="D26" s="475">
        <v>6500</v>
      </c>
    </row>
    <row r="27" spans="1:8" x14ac:dyDescent="0.15">
      <c r="A27" s="66" t="s">
        <v>273</v>
      </c>
      <c r="B27" s="66" t="s">
        <v>278</v>
      </c>
      <c r="C27" s="66" t="s">
        <v>277</v>
      </c>
      <c r="D27" s="475">
        <v>9200</v>
      </c>
    </row>
    <row r="28" spans="1:8" x14ac:dyDescent="0.15">
      <c r="A28" s="66" t="s">
        <v>274</v>
      </c>
      <c r="B28" s="66" t="s">
        <v>275</v>
      </c>
      <c r="C28" s="66" t="s">
        <v>276</v>
      </c>
      <c r="D28" s="475">
        <v>7000</v>
      </c>
      <c r="H28" s="480"/>
    </row>
    <row r="29" spans="1:8" x14ac:dyDescent="0.15">
      <c r="A29" s="66" t="s">
        <v>279</v>
      </c>
      <c r="B29" s="66" t="s">
        <v>280</v>
      </c>
      <c r="C29" s="66" t="s">
        <v>281</v>
      </c>
      <c r="D29" s="475">
        <v>7000</v>
      </c>
      <c r="H29" s="480"/>
    </row>
    <row r="30" spans="1:8" x14ac:dyDescent="0.15">
      <c r="A30" s="66" t="s">
        <v>282</v>
      </c>
      <c r="B30" s="66" t="s">
        <v>283</v>
      </c>
      <c r="C30" s="66" t="s">
        <v>284</v>
      </c>
      <c r="D30" s="475">
        <v>8700</v>
      </c>
      <c r="H30" s="480"/>
    </row>
    <row r="31" spans="1:8" x14ac:dyDescent="0.15">
      <c r="A31" s="66" t="s">
        <v>285</v>
      </c>
      <c r="B31" s="66" t="s">
        <v>286</v>
      </c>
      <c r="C31" s="66" t="s">
        <v>287</v>
      </c>
      <c r="D31" s="477">
        <v>8900</v>
      </c>
    </row>
    <row r="32" spans="1:8" x14ac:dyDescent="0.15">
      <c r="A32" s="66" t="s">
        <v>288</v>
      </c>
      <c r="B32" s="66" t="s">
        <v>289</v>
      </c>
      <c r="C32" s="66" t="s">
        <v>290</v>
      </c>
      <c r="D32" s="475">
        <v>7400</v>
      </c>
    </row>
    <row r="33" spans="1:8" x14ac:dyDescent="0.15">
      <c r="A33" s="27"/>
      <c r="B33" s="27"/>
      <c r="C33" s="27"/>
      <c r="D33" s="43"/>
    </row>
    <row r="34" spans="1:8" x14ac:dyDescent="0.15">
      <c r="A34" s="27" t="s">
        <v>212</v>
      </c>
      <c r="B34" s="27"/>
      <c r="C34" s="27"/>
      <c r="D34" s="43"/>
    </row>
    <row r="35" spans="1:8" x14ac:dyDescent="0.15">
      <c r="A35" s="27" t="s">
        <v>213</v>
      </c>
      <c r="B35" s="27"/>
      <c r="C35" s="27"/>
      <c r="D35" s="43"/>
    </row>
    <row r="36" spans="1:8" x14ac:dyDescent="0.15">
      <c r="A36" s="27" t="s">
        <v>214</v>
      </c>
      <c r="B36" s="27"/>
      <c r="C36" s="27"/>
      <c r="D36" s="43"/>
    </row>
    <row r="37" spans="1:8" x14ac:dyDescent="0.15">
      <c r="A37" s="27" t="s">
        <v>215</v>
      </c>
      <c r="B37" s="27"/>
      <c r="C37" s="27"/>
      <c r="D37" s="43"/>
    </row>
    <row r="38" spans="1:8" x14ac:dyDescent="0.15">
      <c r="A38" s="27" t="s">
        <v>216</v>
      </c>
      <c r="B38" s="27"/>
      <c r="C38" s="27"/>
      <c r="D38" s="43"/>
      <c r="H38" s="480"/>
    </row>
    <row r="39" spans="1:8" x14ac:dyDescent="0.15">
      <c r="A39" s="27"/>
      <c r="B39" s="27"/>
      <c r="C39" s="27"/>
      <c r="D39" s="43"/>
      <c r="H39" s="480"/>
    </row>
    <row r="40" spans="1:8" x14ac:dyDescent="0.15">
      <c r="A40" s="27"/>
      <c r="B40" s="27"/>
      <c r="C40" s="27"/>
      <c r="D40" s="43"/>
      <c r="H40" s="480"/>
    </row>
    <row r="41" spans="1:8" x14ac:dyDescent="0.15">
      <c r="A41" s="27"/>
      <c r="B41" s="27"/>
      <c r="C41" s="27"/>
      <c r="D41" s="43"/>
      <c r="H41" s="483"/>
    </row>
    <row r="42" spans="1:8" x14ac:dyDescent="0.15">
      <c r="A42" s="27"/>
      <c r="B42" s="27"/>
      <c r="C42" s="27"/>
      <c r="D42" s="43"/>
    </row>
    <row r="43" spans="1:8" x14ac:dyDescent="0.15">
      <c r="A43" s="27"/>
      <c r="B43" s="27"/>
      <c r="C43" s="27"/>
      <c r="D43" s="43"/>
      <c r="H43" s="480"/>
    </row>
    <row r="44" spans="1:8" x14ac:dyDescent="0.15">
      <c r="A44" s="27"/>
      <c r="B44" s="27"/>
      <c r="C44" s="27"/>
      <c r="D44" s="43"/>
    </row>
    <row r="45" spans="1:8" x14ac:dyDescent="0.15">
      <c r="A45" s="27"/>
      <c r="B45" s="27"/>
      <c r="C45" s="27"/>
      <c r="D45" s="43"/>
    </row>
    <row r="46" spans="1:8" x14ac:dyDescent="0.15">
      <c r="A46" s="27"/>
      <c r="B46" s="27"/>
      <c r="C46" s="27"/>
      <c r="D46" s="43"/>
      <c r="H46" s="480"/>
    </row>
    <row r="47" spans="1:8" x14ac:dyDescent="0.15">
      <c r="A47" s="27"/>
      <c r="B47" s="27"/>
      <c r="C47" s="27"/>
      <c r="D47" s="43"/>
      <c r="H47" s="480"/>
    </row>
    <row r="48" spans="1:8" x14ac:dyDescent="0.15">
      <c r="A48" s="27"/>
      <c r="B48" s="27"/>
      <c r="C48" s="27"/>
      <c r="D48" s="43"/>
      <c r="H48" s="480"/>
    </row>
    <row r="49" spans="1:8" x14ac:dyDescent="0.15">
      <c r="A49" s="27"/>
      <c r="B49" s="27"/>
      <c r="C49" s="27"/>
      <c r="D49" s="43"/>
      <c r="H49" s="480"/>
    </row>
    <row r="50" spans="1:8" x14ac:dyDescent="0.15">
      <c r="A50" s="27"/>
      <c r="B50" s="27"/>
      <c r="C50" s="27"/>
      <c r="D50" s="43"/>
      <c r="H50" s="480"/>
    </row>
    <row r="51" spans="1:8" x14ac:dyDescent="0.15">
      <c r="A51" s="27"/>
      <c r="B51" s="27"/>
      <c r="C51" s="27"/>
      <c r="D51" s="43"/>
      <c r="H51" s="480"/>
    </row>
    <row r="52" spans="1:8" x14ac:dyDescent="0.15">
      <c r="A52" s="27"/>
      <c r="B52" s="27"/>
      <c r="C52" s="27"/>
      <c r="D52" s="43"/>
      <c r="H52" s="480"/>
    </row>
    <row r="53" spans="1:8" x14ac:dyDescent="0.15">
      <c r="A53" s="27"/>
      <c r="B53" s="27"/>
      <c r="C53" s="27"/>
      <c r="D53" s="43"/>
      <c r="H53" s="480"/>
    </row>
    <row r="54" spans="1:8" x14ac:dyDescent="0.15">
      <c r="A54" s="27"/>
      <c r="B54" s="27"/>
      <c r="C54" s="27"/>
      <c r="D54" s="43"/>
      <c r="H54" s="480"/>
    </row>
    <row r="55" spans="1:8" x14ac:dyDescent="0.15">
      <c r="A55" s="27"/>
      <c r="B55" s="27"/>
      <c r="C55" s="27"/>
      <c r="D55" s="43"/>
      <c r="H55" s="480"/>
    </row>
    <row r="56" spans="1:8" x14ac:dyDescent="0.15">
      <c r="A56" s="27"/>
      <c r="B56" s="27"/>
      <c r="C56" s="27"/>
      <c r="D56" s="43"/>
      <c r="H56" s="480"/>
    </row>
    <row r="57" spans="1:8" x14ac:dyDescent="0.15">
      <c r="A57" s="27"/>
      <c r="B57" s="27"/>
      <c r="C57" s="27"/>
      <c r="D57" s="43"/>
      <c r="H57" s="480"/>
    </row>
    <row r="58" spans="1:8" x14ac:dyDescent="0.15">
      <c r="A58" s="27"/>
      <c r="B58" s="27"/>
      <c r="C58" s="27"/>
      <c r="D58" s="43"/>
      <c r="H58" s="480"/>
    </row>
    <row r="59" spans="1:8" x14ac:dyDescent="0.15">
      <c r="A59" s="27"/>
      <c r="B59" s="27"/>
      <c r="C59" s="27"/>
      <c r="D59" s="43"/>
    </row>
    <row r="60" spans="1:8" s="27" customFormat="1" x14ac:dyDescent="0.15">
      <c r="D60" s="43"/>
    </row>
    <row r="61" spans="1:8" s="27" customFormat="1" x14ac:dyDescent="0.15">
      <c r="D61" s="43"/>
    </row>
    <row r="62" spans="1:8" s="27" customFormat="1" x14ac:dyDescent="0.15">
      <c r="D62" s="43"/>
    </row>
    <row r="63" spans="1:8" s="27" customFormat="1" x14ac:dyDescent="0.15">
      <c r="D63" s="43"/>
    </row>
    <row r="64" spans="1:8" s="27" customFormat="1" x14ac:dyDescent="0.15">
      <c r="D64" s="43"/>
    </row>
    <row r="65" spans="4:4" s="27" customFormat="1" x14ac:dyDescent="0.15">
      <c r="D65" s="43"/>
    </row>
    <row r="66" spans="4:4" s="27" customFormat="1" x14ac:dyDescent="0.15">
      <c r="D66" s="43"/>
    </row>
    <row r="67" spans="4:4" s="27" customFormat="1" x14ac:dyDescent="0.15">
      <c r="D67" s="43"/>
    </row>
    <row r="68" spans="4:4" s="27" customFormat="1" x14ac:dyDescent="0.15">
      <c r="D68" s="43"/>
    </row>
    <row r="69" spans="4:4" s="27" customFormat="1" x14ac:dyDescent="0.15">
      <c r="D69" s="43"/>
    </row>
    <row r="70" spans="4:4" s="27" customFormat="1" x14ac:dyDescent="0.15">
      <c r="D70" s="43"/>
    </row>
    <row r="71" spans="4:4" s="27" customFormat="1" x14ac:dyDescent="0.15">
      <c r="D71" s="43"/>
    </row>
    <row r="72" spans="4:4" s="27" customFormat="1" x14ac:dyDescent="0.15">
      <c r="D72" s="43"/>
    </row>
    <row r="73" spans="4:4" s="27" customFormat="1" x14ac:dyDescent="0.15">
      <c r="D73" s="43"/>
    </row>
    <row r="74" spans="4:4" s="27" customFormat="1" x14ac:dyDescent="0.15">
      <c r="D74" s="43"/>
    </row>
    <row r="75" spans="4:4" s="27" customFormat="1" x14ac:dyDescent="0.15">
      <c r="D75" s="43"/>
    </row>
    <row r="76" spans="4:4" s="27" customFormat="1" x14ac:dyDescent="0.15">
      <c r="D76" s="43"/>
    </row>
    <row r="77" spans="4:4" s="27" customFormat="1" x14ac:dyDescent="0.15">
      <c r="D77" s="43"/>
    </row>
    <row r="78" spans="4:4" s="27" customFormat="1" x14ac:dyDescent="0.15">
      <c r="D78" s="43"/>
    </row>
    <row r="79" spans="4:4" s="27" customFormat="1" x14ac:dyDescent="0.15">
      <c r="D79" s="43"/>
    </row>
    <row r="80" spans="4:4" s="27" customFormat="1" x14ac:dyDescent="0.15">
      <c r="D80" s="43"/>
    </row>
  </sheetData>
  <mergeCells count="1">
    <mergeCell ref="A4:D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2"/>
  <sheetViews>
    <sheetView workbookViewId="0">
      <selection activeCell="M15" sqref="M15"/>
    </sheetView>
  </sheetViews>
  <sheetFormatPr baseColWidth="10" defaultColWidth="8.83203125" defaultRowHeight="13" x14ac:dyDescent="0.15"/>
  <cols>
    <col min="1" max="1" width="1.83203125" customWidth="1"/>
    <col min="2" max="2" width="2.1640625" customWidth="1"/>
    <col min="3" max="3" width="15.5" style="2" customWidth="1"/>
    <col min="4" max="4" width="12.83203125" customWidth="1"/>
    <col min="5" max="5" width="2.5" customWidth="1"/>
    <col min="6" max="7" width="12.83203125" customWidth="1"/>
    <col min="8" max="8" width="3.1640625" customWidth="1"/>
    <col min="9" max="9" width="14.83203125" customWidth="1"/>
    <col min="10" max="10" width="13.33203125" customWidth="1"/>
  </cols>
  <sheetData>
    <row r="1" spans="1:10" ht="16" x14ac:dyDescent="0.2">
      <c r="A1" s="42" t="s">
        <v>744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" x14ac:dyDescent="0.2">
      <c r="A2" s="458" t="s">
        <v>743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" x14ac:dyDescent="0.2">
      <c r="A3" s="458" t="s">
        <v>742</v>
      </c>
      <c r="D3" s="44"/>
      <c r="E3" s="44"/>
      <c r="F3" s="44"/>
      <c r="G3" s="44"/>
      <c r="H3" s="44"/>
      <c r="I3" s="44"/>
      <c r="J3" s="44"/>
    </row>
    <row r="4" spans="1:10" ht="16" x14ac:dyDescent="0.2">
      <c r="C4" s="802" t="s">
        <v>372</v>
      </c>
      <c r="D4" s="803"/>
      <c r="F4" s="802" t="s">
        <v>372</v>
      </c>
      <c r="G4" s="803"/>
      <c r="I4" s="802" t="s">
        <v>372</v>
      </c>
      <c r="J4" s="803"/>
    </row>
    <row r="5" spans="1:10" ht="46" customHeight="1" x14ac:dyDescent="0.2">
      <c r="C5" s="72" t="s">
        <v>322</v>
      </c>
      <c r="D5" s="72" t="s">
        <v>323</v>
      </c>
      <c r="F5" s="72" t="s">
        <v>322</v>
      </c>
      <c r="G5" s="72" t="s">
        <v>323</v>
      </c>
      <c r="I5" s="72" t="s">
        <v>322</v>
      </c>
      <c r="J5" s="72" t="s">
        <v>323</v>
      </c>
    </row>
    <row r="6" spans="1:10" x14ac:dyDescent="0.15">
      <c r="C6" s="59" t="s">
        <v>63</v>
      </c>
      <c r="D6" s="467">
        <v>18.2</v>
      </c>
      <c r="F6" s="484" t="s">
        <v>692</v>
      </c>
      <c r="G6" s="481">
        <v>1555</v>
      </c>
      <c r="I6" s="484" t="s">
        <v>732</v>
      </c>
      <c r="J6" s="481">
        <v>140</v>
      </c>
    </row>
    <row r="7" spans="1:10" x14ac:dyDescent="0.15">
      <c r="C7" s="59" t="s">
        <v>291</v>
      </c>
      <c r="D7" s="478">
        <v>15</v>
      </c>
      <c r="F7" s="484" t="s">
        <v>693</v>
      </c>
      <c r="G7" s="481">
        <v>2170</v>
      </c>
      <c r="I7" s="484" t="s">
        <v>733</v>
      </c>
      <c r="J7" s="481">
        <v>624</v>
      </c>
    </row>
    <row r="8" spans="1:10" x14ac:dyDescent="0.15">
      <c r="C8" s="59" t="s">
        <v>292</v>
      </c>
      <c r="D8" s="478">
        <v>21</v>
      </c>
      <c r="F8" s="484" t="s">
        <v>741</v>
      </c>
      <c r="G8" s="481">
        <v>2575</v>
      </c>
      <c r="I8" s="484" t="s">
        <v>734</v>
      </c>
      <c r="J8" s="481">
        <v>131</v>
      </c>
    </row>
    <row r="9" spans="1:10" x14ac:dyDescent="0.15">
      <c r="C9" s="59" t="s">
        <v>64</v>
      </c>
      <c r="D9" s="479">
        <v>1680</v>
      </c>
      <c r="F9" s="484" t="s">
        <v>694</v>
      </c>
      <c r="G9" s="481">
        <v>2532</v>
      </c>
      <c r="I9" s="484" t="s">
        <v>735</v>
      </c>
      <c r="J9" s="481">
        <v>1457</v>
      </c>
    </row>
    <row r="10" spans="1:10" x14ac:dyDescent="0.15">
      <c r="C10" s="59" t="s">
        <v>65</v>
      </c>
      <c r="D10" s="479">
        <v>1064</v>
      </c>
      <c r="F10" s="484" t="s">
        <v>695</v>
      </c>
      <c r="G10" s="481">
        <v>2086</v>
      </c>
      <c r="I10" s="484" t="s">
        <v>315</v>
      </c>
      <c r="J10" s="481">
        <v>37</v>
      </c>
    </row>
    <row r="11" spans="1:10" x14ac:dyDescent="0.15">
      <c r="C11" s="59" t="s">
        <v>293</v>
      </c>
      <c r="D11" s="479">
        <v>1400</v>
      </c>
      <c r="F11" s="484" t="s">
        <v>696</v>
      </c>
      <c r="G11" s="481">
        <v>2491</v>
      </c>
      <c r="I11" s="484" t="s">
        <v>318</v>
      </c>
      <c r="J11" s="481">
        <v>4692</v>
      </c>
    </row>
    <row r="12" spans="1:10" x14ac:dyDescent="0.15">
      <c r="C12" s="59" t="s">
        <v>294</v>
      </c>
      <c r="D12" s="479">
        <v>2730</v>
      </c>
      <c r="F12" s="484" t="s">
        <v>697</v>
      </c>
      <c r="G12" s="481">
        <v>2232</v>
      </c>
      <c r="I12" s="484" t="s">
        <v>319</v>
      </c>
      <c r="J12" s="481">
        <v>313</v>
      </c>
    </row>
    <row r="13" spans="1:10" x14ac:dyDescent="0.15">
      <c r="C13" s="59" t="s">
        <v>66</v>
      </c>
      <c r="D13" s="479">
        <v>3260</v>
      </c>
      <c r="F13" s="484" t="s">
        <v>698</v>
      </c>
      <c r="G13" s="481">
        <v>2060</v>
      </c>
      <c r="I13" s="484" t="s">
        <v>71</v>
      </c>
      <c r="J13" s="481">
        <v>3300</v>
      </c>
    </row>
    <row r="14" spans="1:10" x14ac:dyDescent="0.15">
      <c r="C14" s="59" t="s">
        <v>295</v>
      </c>
      <c r="D14" s="405">
        <v>0</v>
      </c>
      <c r="F14" s="484" t="s">
        <v>699</v>
      </c>
      <c r="G14" s="481">
        <v>2025</v>
      </c>
      <c r="I14" s="484" t="s">
        <v>736</v>
      </c>
      <c r="J14" s="481">
        <v>3920</v>
      </c>
    </row>
    <row r="15" spans="1:10" x14ac:dyDescent="0.15">
      <c r="C15" s="59" t="s">
        <v>67</v>
      </c>
      <c r="D15" s="479">
        <v>1770</v>
      </c>
      <c r="F15" s="484" t="s">
        <v>700</v>
      </c>
      <c r="G15" s="481">
        <v>1372</v>
      </c>
      <c r="I15" s="484" t="s">
        <v>737</v>
      </c>
      <c r="J15" s="481">
        <v>198</v>
      </c>
    </row>
    <row r="16" spans="1:10" x14ac:dyDescent="0.15">
      <c r="C16" s="59" t="s">
        <v>68</v>
      </c>
      <c r="D16" s="479">
        <v>2285</v>
      </c>
      <c r="F16" s="484" t="s">
        <v>701</v>
      </c>
      <c r="G16" s="481">
        <v>1352</v>
      </c>
      <c r="I16" s="484" t="s">
        <v>738</v>
      </c>
      <c r="J16" s="481">
        <v>572</v>
      </c>
    </row>
    <row r="17" spans="3:10" x14ac:dyDescent="0.15">
      <c r="C17" s="59" t="s">
        <v>69</v>
      </c>
      <c r="D17" s="479">
        <v>1526</v>
      </c>
      <c r="F17" s="484" t="s">
        <v>702</v>
      </c>
      <c r="G17" s="486">
        <v>1828</v>
      </c>
      <c r="I17" s="484" t="s">
        <v>739</v>
      </c>
      <c r="J17" s="481">
        <v>540</v>
      </c>
    </row>
    <row r="18" spans="3:10" x14ac:dyDescent="0.15">
      <c r="C18" s="59" t="s">
        <v>296</v>
      </c>
      <c r="D18" s="479">
        <v>1428</v>
      </c>
      <c r="F18" s="484" t="s">
        <v>703</v>
      </c>
      <c r="G18" s="487">
        <v>2930</v>
      </c>
      <c r="I18" s="484" t="s">
        <v>740</v>
      </c>
      <c r="J18" s="481">
        <v>348</v>
      </c>
    </row>
    <row r="19" spans="3:10" x14ac:dyDescent="0.15">
      <c r="C19" s="59" t="s">
        <v>297</v>
      </c>
      <c r="D19" s="479">
        <v>1363</v>
      </c>
      <c r="F19" s="484" t="s">
        <v>704</v>
      </c>
      <c r="G19" s="481">
        <v>14</v>
      </c>
    </row>
    <row r="20" spans="3:10" x14ac:dyDescent="0.15">
      <c r="C20" s="59" t="s">
        <v>298</v>
      </c>
      <c r="D20" s="479">
        <v>1944</v>
      </c>
      <c r="F20" s="484" t="s">
        <v>705</v>
      </c>
      <c r="G20" s="481">
        <v>106.4</v>
      </c>
    </row>
    <row r="21" spans="3:10" x14ac:dyDescent="0.15">
      <c r="C21" s="59" t="s">
        <v>299</v>
      </c>
      <c r="D21" s="405">
        <v>0</v>
      </c>
      <c r="F21" s="484" t="s">
        <v>706</v>
      </c>
      <c r="G21" s="481">
        <v>41</v>
      </c>
    </row>
    <row r="22" spans="3:10" x14ac:dyDescent="0.15">
      <c r="C22" s="59" t="s">
        <v>300</v>
      </c>
      <c r="D22" s="405">
        <v>0</v>
      </c>
      <c r="F22" s="484" t="s">
        <v>707</v>
      </c>
      <c r="G22" s="481">
        <v>2662</v>
      </c>
    </row>
    <row r="23" spans="3:10" x14ac:dyDescent="0.15">
      <c r="C23" s="59" t="s">
        <v>70</v>
      </c>
      <c r="D23" s="479">
        <v>1725</v>
      </c>
      <c r="F23" s="484" t="s">
        <v>708</v>
      </c>
      <c r="G23" s="481">
        <v>28</v>
      </c>
    </row>
    <row r="24" spans="3:10" x14ac:dyDescent="0.15">
      <c r="C24" s="59" t="s">
        <v>301</v>
      </c>
      <c r="D24" s="479">
        <v>1833</v>
      </c>
      <c r="F24" s="484" t="s">
        <v>709</v>
      </c>
      <c r="G24" s="481">
        <v>1567</v>
      </c>
    </row>
    <row r="25" spans="3:10" x14ac:dyDescent="0.15">
      <c r="C25" s="59" t="s">
        <v>302</v>
      </c>
      <c r="D25" s="479">
        <v>15</v>
      </c>
      <c r="F25" s="484" t="s">
        <v>710</v>
      </c>
      <c r="G25" s="481">
        <v>1890</v>
      </c>
    </row>
    <row r="26" spans="3:10" x14ac:dyDescent="0.15">
      <c r="C26" s="59" t="s">
        <v>303</v>
      </c>
      <c r="D26" s="479">
        <v>4</v>
      </c>
      <c r="F26" s="484" t="s">
        <v>711</v>
      </c>
      <c r="G26" s="481">
        <v>1641</v>
      </c>
    </row>
    <row r="27" spans="3:10" x14ac:dyDescent="0.15">
      <c r="C27" s="59" t="s">
        <v>304</v>
      </c>
      <c r="D27" s="479">
        <v>350</v>
      </c>
      <c r="F27" s="484" t="s">
        <v>712</v>
      </c>
      <c r="G27" s="481">
        <v>158</v>
      </c>
    </row>
    <row r="28" spans="3:10" x14ac:dyDescent="0.15">
      <c r="C28" s="59" t="s">
        <v>305</v>
      </c>
      <c r="D28" s="405">
        <v>1774</v>
      </c>
      <c r="F28" s="484" t="s">
        <v>694</v>
      </c>
      <c r="G28" s="481">
        <v>1609</v>
      </c>
    </row>
    <row r="29" spans="3:10" x14ac:dyDescent="0.15">
      <c r="C29" s="59" t="s">
        <v>306</v>
      </c>
      <c r="D29" s="405">
        <v>0</v>
      </c>
      <c r="F29" s="484" t="s">
        <v>713</v>
      </c>
      <c r="G29" s="481">
        <v>85</v>
      </c>
    </row>
    <row r="30" spans="3:10" x14ac:dyDescent="0.15">
      <c r="C30" s="59" t="s">
        <v>307</v>
      </c>
      <c r="D30" s="405">
        <v>0</v>
      </c>
      <c r="F30" s="484" t="s">
        <v>714</v>
      </c>
      <c r="G30" s="481">
        <v>85</v>
      </c>
    </row>
    <row r="31" spans="3:10" x14ac:dyDescent="0.15">
      <c r="C31" s="59" t="s">
        <v>308</v>
      </c>
      <c r="D31" s="485">
        <v>25.2</v>
      </c>
      <c r="F31" s="484" t="s">
        <v>715</v>
      </c>
      <c r="G31" s="481">
        <v>117</v>
      </c>
    </row>
    <row r="32" spans="3:10" x14ac:dyDescent="0.15">
      <c r="C32" s="59" t="s">
        <v>309</v>
      </c>
      <c r="D32" s="479">
        <v>105</v>
      </c>
      <c r="F32" s="484" t="s">
        <v>716</v>
      </c>
      <c r="G32" s="481">
        <v>442</v>
      </c>
    </row>
    <row r="33" spans="3:7" x14ac:dyDescent="0.15">
      <c r="C33" s="59" t="s">
        <v>310</v>
      </c>
      <c r="D33" s="479">
        <v>767</v>
      </c>
      <c r="F33" s="484" t="s">
        <v>717</v>
      </c>
      <c r="G33" s="481">
        <v>540</v>
      </c>
    </row>
    <row r="34" spans="3:7" x14ac:dyDescent="0.15">
      <c r="C34" s="59" t="s">
        <v>311</v>
      </c>
      <c r="D34" s="479">
        <v>1955</v>
      </c>
      <c r="F34" s="484" t="s">
        <v>718</v>
      </c>
      <c r="G34" s="481">
        <v>666</v>
      </c>
    </row>
    <row r="35" spans="3:7" x14ac:dyDescent="0.15">
      <c r="C35" s="59" t="s">
        <v>312</v>
      </c>
      <c r="D35" s="482">
        <v>4</v>
      </c>
      <c r="F35" s="484" t="s">
        <v>719</v>
      </c>
      <c r="G35" s="481">
        <v>1170</v>
      </c>
    </row>
    <row r="36" spans="3:7" x14ac:dyDescent="0.15">
      <c r="C36" s="59" t="s">
        <v>313</v>
      </c>
      <c r="D36" s="479">
        <v>2403</v>
      </c>
      <c r="F36" s="484" t="s">
        <v>720</v>
      </c>
      <c r="G36" s="481">
        <v>1184</v>
      </c>
    </row>
    <row r="37" spans="3:7" x14ac:dyDescent="0.15">
      <c r="C37" s="59" t="s">
        <v>314</v>
      </c>
      <c r="D37" s="479">
        <v>1144</v>
      </c>
      <c r="F37" s="484" t="s">
        <v>721</v>
      </c>
      <c r="G37" s="481">
        <v>1199</v>
      </c>
    </row>
    <row r="38" spans="3:7" x14ac:dyDescent="0.15">
      <c r="C38" s="59" t="s">
        <v>315</v>
      </c>
      <c r="D38" s="405">
        <v>37</v>
      </c>
      <c r="F38" s="484" t="s">
        <v>722</v>
      </c>
      <c r="G38" s="481">
        <v>1067</v>
      </c>
    </row>
    <row r="39" spans="3:7" x14ac:dyDescent="0.15">
      <c r="C39" s="59" t="s">
        <v>316</v>
      </c>
      <c r="D39" s="405">
        <v>0</v>
      </c>
      <c r="F39" s="484" t="s">
        <v>723</v>
      </c>
      <c r="G39" s="481">
        <v>546</v>
      </c>
    </row>
    <row r="40" spans="3:7" x14ac:dyDescent="0.15">
      <c r="C40" s="59" t="s">
        <v>317</v>
      </c>
      <c r="D40" s="405">
        <v>0</v>
      </c>
      <c r="F40" s="484" t="s">
        <v>724</v>
      </c>
      <c r="G40" s="481">
        <v>132.6</v>
      </c>
    </row>
    <row r="41" spans="3:7" x14ac:dyDescent="0.15">
      <c r="C41" s="59" t="s">
        <v>318</v>
      </c>
      <c r="D41" s="479">
        <v>4692</v>
      </c>
      <c r="F41" s="484" t="s">
        <v>725</v>
      </c>
      <c r="G41" s="481">
        <v>145.6</v>
      </c>
    </row>
    <row r="42" spans="3:7" x14ac:dyDescent="0.15">
      <c r="C42" s="59" t="s">
        <v>319</v>
      </c>
      <c r="D42" s="479">
        <v>313</v>
      </c>
      <c r="F42" s="484" t="s">
        <v>726</v>
      </c>
      <c r="G42" s="481">
        <v>1724</v>
      </c>
    </row>
    <row r="43" spans="3:7" x14ac:dyDescent="0.15">
      <c r="C43" s="59" t="s">
        <v>320</v>
      </c>
      <c r="D43" s="405">
        <v>0</v>
      </c>
      <c r="F43" s="484" t="s">
        <v>727</v>
      </c>
      <c r="G43" s="481">
        <v>632</v>
      </c>
    </row>
    <row r="44" spans="3:7" x14ac:dyDescent="0.15">
      <c r="C44" s="59" t="s">
        <v>321</v>
      </c>
      <c r="D44" s="405">
        <v>0</v>
      </c>
      <c r="F44" s="484" t="s">
        <v>728</v>
      </c>
      <c r="G44" s="481">
        <v>1789</v>
      </c>
    </row>
    <row r="45" spans="3:7" x14ac:dyDescent="0.15">
      <c r="C45" s="59" t="s">
        <v>71</v>
      </c>
      <c r="D45" s="405">
        <v>3300</v>
      </c>
      <c r="F45" s="484" t="s">
        <v>729</v>
      </c>
      <c r="G45" s="481">
        <v>1534</v>
      </c>
    </row>
    <row r="46" spans="3:7" x14ac:dyDescent="0.15">
      <c r="C46" s="59" t="s">
        <v>72</v>
      </c>
      <c r="D46" s="405">
        <v>10175</v>
      </c>
      <c r="F46" s="484" t="s">
        <v>730</v>
      </c>
      <c r="G46" s="481">
        <v>228</v>
      </c>
    </row>
    <row r="47" spans="3:7" x14ac:dyDescent="0.15">
      <c r="C47" s="59" t="s">
        <v>73</v>
      </c>
      <c r="D47" s="405">
        <v>10350</v>
      </c>
      <c r="F47" s="484" t="s">
        <v>731</v>
      </c>
      <c r="G47" s="481">
        <v>448</v>
      </c>
    </row>
    <row r="61" spans="6:7" x14ac:dyDescent="0.15">
      <c r="F61" s="484"/>
      <c r="G61" s="481"/>
    </row>
    <row r="62" spans="6:7" x14ac:dyDescent="0.15">
      <c r="F62" s="484"/>
      <c r="G62" s="481"/>
    </row>
    <row r="63" spans="6:7" x14ac:dyDescent="0.15">
      <c r="F63" s="484"/>
      <c r="G63" s="481"/>
    </row>
    <row r="64" spans="6:7" x14ac:dyDescent="0.15">
      <c r="F64" s="484"/>
      <c r="G64" s="481"/>
    </row>
    <row r="65" spans="6:7" x14ac:dyDescent="0.15">
      <c r="F65" s="484"/>
      <c r="G65" s="481"/>
    </row>
    <row r="66" spans="6:7" x14ac:dyDescent="0.15">
      <c r="F66" s="484"/>
      <c r="G66" s="481"/>
    </row>
    <row r="67" spans="6:7" x14ac:dyDescent="0.15">
      <c r="F67" s="484"/>
      <c r="G67" s="481"/>
    </row>
    <row r="68" spans="6:7" x14ac:dyDescent="0.15">
      <c r="F68" s="484"/>
      <c r="G68" s="481"/>
    </row>
    <row r="69" spans="6:7" x14ac:dyDescent="0.15">
      <c r="F69" s="484"/>
      <c r="G69" s="481"/>
    </row>
    <row r="70" spans="6:7" x14ac:dyDescent="0.15">
      <c r="F70" s="484"/>
      <c r="G70" s="481"/>
    </row>
    <row r="71" spans="6:7" x14ac:dyDescent="0.15">
      <c r="F71" s="484"/>
      <c r="G71" s="481"/>
    </row>
    <row r="72" spans="6:7" x14ac:dyDescent="0.15">
      <c r="F72" s="484"/>
      <c r="G72" s="481"/>
    </row>
  </sheetData>
  <mergeCells count="3">
    <mergeCell ref="C4:D4"/>
    <mergeCell ref="F4:G4"/>
    <mergeCell ref="I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9"/>
  <sheetViews>
    <sheetView topLeftCell="A46" workbookViewId="0">
      <selection activeCell="F69" sqref="F69"/>
    </sheetView>
  </sheetViews>
  <sheetFormatPr baseColWidth="10" defaultColWidth="9.1640625" defaultRowHeight="13" x14ac:dyDescent="0.15"/>
  <cols>
    <col min="1" max="1" width="2" style="4" customWidth="1"/>
    <col min="2" max="2" width="8.5" style="1" customWidth="1"/>
    <col min="3" max="3" width="12.5" style="1" customWidth="1"/>
    <col min="4" max="4" width="29.33203125" style="1" customWidth="1"/>
    <col min="5" max="7" width="14.5" style="1" customWidth="1"/>
    <col min="8" max="8" width="14.33203125" style="1" customWidth="1"/>
    <col min="9" max="9" width="6.83203125" style="5" customWidth="1"/>
    <col min="10" max="10" width="8.1640625" style="5" customWidth="1"/>
    <col min="11" max="12" width="9.5" style="5" customWidth="1"/>
    <col min="13" max="13" width="10.83203125" style="5" customWidth="1"/>
    <col min="14" max="14" width="8.5" style="5" customWidth="1"/>
    <col min="15" max="15" width="10.6640625" style="5" customWidth="1"/>
    <col min="16" max="16" width="9.6640625" style="5" customWidth="1"/>
    <col min="17" max="17" width="9.5" style="5" customWidth="1"/>
    <col min="18" max="18" width="8" style="5" customWidth="1"/>
    <col min="19" max="20" width="9.1640625" style="1"/>
    <col min="21" max="21" width="12.83203125" style="1" customWidth="1"/>
    <col min="22" max="22" width="9.1640625" style="23"/>
    <col min="23" max="23" width="12.5" style="1" customWidth="1"/>
    <col min="24" max="31" width="9.1640625" style="4"/>
    <col min="32" max="16384" width="9.1640625" style="1"/>
  </cols>
  <sheetData>
    <row r="1" spans="1:29" ht="18" customHeight="1" x14ac:dyDescent="0.2">
      <c r="A1" s="524" t="s">
        <v>111</v>
      </c>
      <c r="B1" s="525"/>
      <c r="C1" s="525"/>
      <c r="D1" s="525"/>
      <c r="E1" s="525"/>
      <c r="F1" s="525"/>
      <c r="G1" s="4"/>
      <c r="H1" s="4"/>
      <c r="I1" s="12"/>
      <c r="J1" s="529" t="s">
        <v>667</v>
      </c>
      <c r="K1" s="529"/>
      <c r="L1" s="529"/>
      <c r="M1" s="529"/>
      <c r="N1" s="529"/>
      <c r="O1" s="12"/>
      <c r="P1" s="12"/>
      <c r="Q1" s="12"/>
      <c r="R1" s="12"/>
      <c r="S1" s="4"/>
      <c r="T1" s="4"/>
      <c r="U1" s="4"/>
      <c r="V1" s="21"/>
      <c r="W1" s="4"/>
    </row>
    <row r="2" spans="1:29" ht="12.75" customHeight="1" x14ac:dyDescent="0.2">
      <c r="A2" s="517" t="s">
        <v>758</v>
      </c>
      <c r="B2" s="517"/>
      <c r="C2" s="517"/>
      <c r="D2" s="517"/>
      <c r="E2" s="517"/>
      <c r="F2" s="517"/>
      <c r="G2" s="517"/>
      <c r="H2" s="517"/>
      <c r="I2" s="517"/>
      <c r="J2" s="529"/>
      <c r="K2" s="529"/>
      <c r="L2" s="529"/>
      <c r="M2" s="529"/>
      <c r="N2" s="529"/>
      <c r="O2" s="12"/>
      <c r="P2" s="12"/>
      <c r="Q2" s="12"/>
      <c r="R2" s="12"/>
      <c r="S2" s="4"/>
      <c r="T2" s="4"/>
      <c r="U2" s="4"/>
      <c r="V2" s="21"/>
      <c r="W2" s="4"/>
    </row>
    <row r="3" spans="1:29" ht="80.25" customHeight="1" x14ac:dyDescent="0.2">
      <c r="A3" s="561" t="s">
        <v>755</v>
      </c>
      <c r="B3" s="562"/>
      <c r="C3" s="562"/>
      <c r="D3" s="562"/>
      <c r="E3" s="31"/>
      <c r="F3" s="31"/>
      <c r="G3" s="31"/>
      <c r="H3" s="31"/>
      <c r="I3" s="31"/>
      <c r="J3" s="530"/>
      <c r="K3" s="530"/>
      <c r="L3" s="530"/>
      <c r="M3" s="530"/>
      <c r="N3" s="530"/>
      <c r="O3" s="12"/>
      <c r="P3" s="12"/>
      <c r="Q3" s="12"/>
      <c r="R3" s="12"/>
      <c r="S3" s="4"/>
      <c r="T3" s="4"/>
      <c r="U3" s="4"/>
      <c r="V3" s="21"/>
      <c r="W3" s="4"/>
    </row>
    <row r="4" spans="1:29" ht="12.75" customHeight="1" x14ac:dyDescent="0.2">
      <c r="A4" s="560" t="s">
        <v>687</v>
      </c>
      <c r="B4" s="560"/>
      <c r="C4" s="560"/>
      <c r="D4" s="560"/>
      <c r="E4" s="31"/>
      <c r="F4" s="31"/>
      <c r="G4" s="31"/>
      <c r="H4" s="31"/>
      <c r="I4" s="31"/>
      <c r="J4" s="459"/>
      <c r="K4" s="459"/>
      <c r="L4" s="459"/>
      <c r="M4" s="459"/>
      <c r="N4" s="459"/>
      <c r="O4" s="12"/>
      <c r="P4" s="12"/>
      <c r="Q4" s="12"/>
      <c r="R4" s="12"/>
      <c r="S4" s="4"/>
      <c r="T4" s="4"/>
      <c r="U4" s="4"/>
      <c r="V4" s="21"/>
      <c r="W4" s="4"/>
    </row>
    <row r="5" spans="1:29" s="24" customFormat="1" x14ac:dyDescent="0.15">
      <c r="B5" s="25" t="s">
        <v>8</v>
      </c>
      <c r="C5" s="25" t="s">
        <v>9</v>
      </c>
      <c r="D5" s="25" t="s">
        <v>13</v>
      </c>
      <c r="E5" s="25" t="s">
        <v>38</v>
      </c>
      <c r="F5" s="25" t="s">
        <v>10</v>
      </c>
      <c r="G5" s="25" t="s">
        <v>14</v>
      </c>
      <c r="H5" s="25" t="s">
        <v>11</v>
      </c>
      <c r="I5" s="25" t="s">
        <v>56</v>
      </c>
      <c r="J5" s="25" t="s">
        <v>12</v>
      </c>
      <c r="K5" s="25" t="s">
        <v>15</v>
      </c>
      <c r="L5" s="25" t="s">
        <v>39</v>
      </c>
      <c r="M5" s="25" t="s">
        <v>40</v>
      </c>
      <c r="N5" s="25" t="s">
        <v>41</v>
      </c>
      <c r="O5" s="25" t="s">
        <v>57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58</v>
      </c>
      <c r="U5" s="25" t="s">
        <v>59</v>
      </c>
      <c r="V5" s="25" t="s">
        <v>60</v>
      </c>
      <c r="W5" s="25" t="s">
        <v>617</v>
      </c>
      <c r="X5" s="26"/>
      <c r="Y5" s="26"/>
      <c r="Z5" s="26"/>
      <c r="AA5" s="26"/>
      <c r="AB5" s="26"/>
      <c r="AC5" s="26"/>
    </row>
    <row r="6" spans="1:29" ht="70.5" customHeight="1" x14ac:dyDescent="0.15">
      <c r="B6" s="556" t="s">
        <v>21</v>
      </c>
      <c r="C6" s="556" t="s">
        <v>93</v>
      </c>
      <c r="D6" s="515" t="s">
        <v>98</v>
      </c>
      <c r="E6" s="515" t="s">
        <v>614</v>
      </c>
      <c r="F6" s="515" t="s">
        <v>615</v>
      </c>
      <c r="G6" s="558" t="s">
        <v>616</v>
      </c>
      <c r="H6" s="558" t="s">
        <v>391</v>
      </c>
      <c r="I6" s="515" t="s">
        <v>20</v>
      </c>
      <c r="J6" s="515" t="s">
        <v>77</v>
      </c>
      <c r="K6" s="564" t="s">
        <v>663</v>
      </c>
      <c r="L6" s="564"/>
      <c r="M6" s="564"/>
      <c r="N6" s="564"/>
      <c r="O6" s="564"/>
      <c r="P6" s="564"/>
      <c r="Q6" s="564"/>
      <c r="R6" s="564"/>
      <c r="S6" s="515" t="s">
        <v>29</v>
      </c>
      <c r="T6" s="515"/>
      <c r="U6" s="515"/>
      <c r="V6" s="563" t="s">
        <v>74</v>
      </c>
      <c r="W6" s="515" t="s">
        <v>75</v>
      </c>
      <c r="X6" s="14"/>
      <c r="Y6" s="14"/>
      <c r="Z6" s="14"/>
      <c r="AA6" s="14"/>
      <c r="AB6" s="14"/>
      <c r="AC6" s="14"/>
    </row>
    <row r="7" spans="1:29" ht="26" x14ac:dyDescent="0.15">
      <c r="B7" s="557"/>
      <c r="C7" s="557"/>
      <c r="D7" s="516"/>
      <c r="E7" s="516"/>
      <c r="F7" s="516"/>
      <c r="G7" s="559"/>
      <c r="H7" s="559"/>
      <c r="I7" s="515"/>
      <c r="J7" s="515"/>
      <c r="K7" s="460" t="s">
        <v>22</v>
      </c>
      <c r="L7" s="460" t="s">
        <v>103</v>
      </c>
      <c r="M7" s="460" t="s">
        <v>24</v>
      </c>
      <c r="N7" s="460" t="s">
        <v>23</v>
      </c>
      <c r="O7" s="460" t="s">
        <v>24</v>
      </c>
      <c r="P7" s="460" t="s">
        <v>26</v>
      </c>
      <c r="Q7" s="460" t="s">
        <v>25</v>
      </c>
      <c r="R7" s="460" t="s">
        <v>27</v>
      </c>
      <c r="S7" s="3" t="s">
        <v>30</v>
      </c>
      <c r="T7" s="3" t="s">
        <v>31</v>
      </c>
      <c r="U7" s="3" t="s">
        <v>32</v>
      </c>
      <c r="V7" s="563"/>
      <c r="W7" s="523"/>
      <c r="X7" s="14"/>
      <c r="Y7" s="14"/>
      <c r="Z7" s="14"/>
      <c r="AA7" s="14"/>
      <c r="AB7" s="14"/>
      <c r="AC7" s="14"/>
    </row>
    <row r="8" spans="1:29" x14ac:dyDescent="0.15">
      <c r="B8" s="544">
        <f>'1. Facility'!B8</f>
        <v>1</v>
      </c>
      <c r="C8" s="536" t="s">
        <v>92</v>
      </c>
      <c r="D8" s="83" t="s">
        <v>94</v>
      </c>
      <c r="E8" s="84">
        <f>IF('3a. Mobile Sources'!F7&gt;0, '3a. Mobile Sources'!F7, "")</f>
        <v>1513.902040286376</v>
      </c>
      <c r="F8" s="84">
        <f t="shared" ref="F8:F12" si="0">IF(E8=0, "",E8/1.1023)</f>
        <v>1373.4029214246357</v>
      </c>
      <c r="G8" s="547">
        <f>SUM(F8:F11)</f>
        <v>1518.3782003868057</v>
      </c>
      <c r="H8" s="547">
        <f>G8+G12</f>
        <v>2383.0391938132775</v>
      </c>
      <c r="I8" s="569" t="s">
        <v>101</v>
      </c>
      <c r="J8" s="544" t="str">
        <f>IF('1. Facility'!G8="", "",'1. Facility'!G8)</f>
        <v/>
      </c>
      <c r="K8" s="544" t="str">
        <f>IF('1. Facility'!H8="", "",'1. Facility'!H8)</f>
        <v>Y</v>
      </c>
      <c r="L8" s="544" t="str">
        <f>IF('1. Facility'!I8="", "",'1. Facility'!I8)</f>
        <v/>
      </c>
      <c r="M8" s="544" t="str">
        <f>IF('1. Facility'!J8="", "",'1. Facility'!J8)</f>
        <v/>
      </c>
      <c r="N8" s="544" t="str">
        <f>IF('1. Facility'!K8="", "",'1. Facility'!K8)</f>
        <v/>
      </c>
      <c r="O8" s="544" t="e">
        <f>IF('1. Facility'!#REF!="", "",'1. Facility'!#REF!)</f>
        <v>#REF!</v>
      </c>
      <c r="P8" s="544" t="str">
        <f>IF('1. Facility'!L8="", "",'1. Facility'!L8)</f>
        <v/>
      </c>
      <c r="Q8" s="544" t="str">
        <f>IF('1. Facility'!M8="", "",'1. Facility'!M8)</f>
        <v>Y</v>
      </c>
      <c r="R8" s="544" t="str">
        <f>IF('1. Facility'!O8="", "",'1. Facility'!O8)</f>
        <v/>
      </c>
      <c r="S8" s="544" t="str">
        <f>IF('1. Facility'!P8="", "",'1. Facility'!P8)</f>
        <v/>
      </c>
      <c r="T8" s="544" t="str">
        <f>IF('1. Facility'!Q8="", "",'1. Facility'!Q8)</f>
        <v/>
      </c>
      <c r="U8" s="544" t="str">
        <f>IF('1. Facility'!R8="", "",'1. Facility'!R8)</f>
        <v/>
      </c>
      <c r="V8" s="565">
        <f>IF('1. Facility'!S8="", "",'1. Facility'!S8)</f>
        <v>1</v>
      </c>
      <c r="W8" s="567"/>
      <c r="X8" s="14"/>
      <c r="Y8" s="14"/>
      <c r="Z8" s="14"/>
      <c r="AA8" s="14"/>
      <c r="AB8" s="14"/>
      <c r="AC8" s="14"/>
    </row>
    <row r="9" spans="1:29" ht="12.75" customHeight="1" x14ac:dyDescent="0.15">
      <c r="B9" s="545"/>
      <c r="C9" s="537"/>
      <c r="D9" s="83" t="s">
        <v>95</v>
      </c>
      <c r="E9" s="84">
        <f>'4a. Stationary  Combustion'!P36</f>
        <v>0</v>
      </c>
      <c r="F9" s="84" t="str">
        <f t="shared" si="0"/>
        <v/>
      </c>
      <c r="G9" s="548"/>
      <c r="H9" s="548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66"/>
      <c r="W9" s="568"/>
      <c r="X9" s="14"/>
      <c r="Y9" s="14"/>
      <c r="Z9" s="14"/>
      <c r="AA9" s="14"/>
      <c r="AB9" s="14"/>
      <c r="AC9" s="14"/>
    </row>
    <row r="10" spans="1:29" ht="14" x14ac:dyDescent="0.15">
      <c r="B10" s="545"/>
      <c r="C10" s="538"/>
      <c r="D10" s="34" t="s">
        <v>25</v>
      </c>
      <c r="E10" s="83">
        <f>IF('5. Blasting-Tier C'!C7&gt;0, '5. Blasting-Tier C'!C7, 0)</f>
        <v>85.949999999999989</v>
      </c>
      <c r="F10" s="84">
        <f t="shared" si="0"/>
        <v>77.97332849496506</v>
      </c>
      <c r="G10" s="548"/>
      <c r="H10" s="548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66"/>
      <c r="W10" s="568"/>
      <c r="X10" s="14"/>
      <c r="Y10" s="14"/>
      <c r="Z10" s="14"/>
      <c r="AA10" s="14"/>
      <c r="AB10" s="14"/>
      <c r="AC10" s="14"/>
    </row>
    <row r="11" spans="1:29" ht="14" x14ac:dyDescent="0.15">
      <c r="B11" s="545"/>
      <c r="C11" s="539"/>
      <c r="D11" s="34" t="s">
        <v>402</v>
      </c>
      <c r="E11" s="86">
        <f>IF('7a. HFC, PFC Tier C Screen'!C7&gt;0, '7a. HFC, PFC Tier C Screen'!C7, "")</f>
        <v>73.856250000000003</v>
      </c>
      <c r="F11" s="84">
        <f t="shared" si="0"/>
        <v>67.001950467204935</v>
      </c>
      <c r="G11" s="549"/>
      <c r="H11" s="548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66"/>
      <c r="W11" s="568"/>
      <c r="X11" s="14"/>
      <c r="Y11" s="14"/>
      <c r="Z11" s="14"/>
      <c r="AA11" s="14"/>
      <c r="AB11" s="14"/>
      <c r="AC11" s="14"/>
    </row>
    <row r="12" spans="1:29" x14ac:dyDescent="0.15">
      <c r="B12" s="546"/>
      <c r="C12" s="90" t="s">
        <v>96</v>
      </c>
      <c r="D12" s="83" t="s">
        <v>97</v>
      </c>
      <c r="E12" s="84">
        <f>IF('6a. Purchased Power Tier B'!D7&gt;0, '6a. Purchased Power Tier B'!D7,0)</f>
        <v>953.115813054</v>
      </c>
      <c r="F12" s="84">
        <f t="shared" si="0"/>
        <v>864.66099342647192</v>
      </c>
      <c r="G12" s="88">
        <f>F12</f>
        <v>864.66099342647192</v>
      </c>
      <c r="H12" s="549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3"/>
      <c r="X12" s="14"/>
      <c r="Y12" s="14"/>
      <c r="Z12" s="14"/>
      <c r="AA12" s="14"/>
      <c r="AB12" s="14"/>
      <c r="AC12" s="14"/>
    </row>
    <row r="13" spans="1:29" x14ac:dyDescent="0.15">
      <c r="B13" s="544">
        <f>'1. Facility'!B9</f>
        <v>2</v>
      </c>
      <c r="C13" s="536" t="s">
        <v>92</v>
      </c>
      <c r="D13" s="83" t="s">
        <v>94</v>
      </c>
      <c r="E13" s="84" t="str">
        <f>IF('3a. Mobile Sources'!F8&gt;0, '3a. Mobile Sources'!F8, "")</f>
        <v/>
      </c>
      <c r="F13" s="84">
        <v>0</v>
      </c>
      <c r="G13" s="550">
        <f>SUM(F13:F16)</f>
        <v>0</v>
      </c>
      <c r="H13" s="547">
        <f>G13+G17</f>
        <v>0</v>
      </c>
      <c r="I13" s="544"/>
      <c r="J13" s="544" t="str">
        <f>IF('1. Facility'!G9="", "",'1. Facility'!G9)</f>
        <v/>
      </c>
      <c r="K13" s="544" t="str">
        <f>IF('1. Facility'!H9="", "",'1. Facility'!H9)</f>
        <v/>
      </c>
      <c r="L13" s="544" t="str">
        <f>IF('1. Facility'!I9="", "",'1. Facility'!I9)</f>
        <v/>
      </c>
      <c r="M13" s="544" t="str">
        <f>IF('1. Facility'!J9="", "",'1. Facility'!J9)</f>
        <v/>
      </c>
      <c r="N13" s="544" t="str">
        <f>IF('1. Facility'!K9="", "",'1. Facility'!K9)</f>
        <v/>
      </c>
      <c r="O13" s="544" t="e">
        <f>IF('1. Facility'!#REF!="", "",'1. Facility'!#REF!)</f>
        <v>#REF!</v>
      </c>
      <c r="P13" s="544" t="str">
        <f>IF('1. Facility'!L9="", "",'1. Facility'!L9)</f>
        <v/>
      </c>
      <c r="Q13" s="544" t="str">
        <f>IF('1. Facility'!M9="", "",'1. Facility'!M9)</f>
        <v/>
      </c>
      <c r="R13" s="544" t="str">
        <f>IF('1. Facility'!O9="", "",'1. Facility'!O9)</f>
        <v/>
      </c>
      <c r="S13" s="544" t="str">
        <f>IF('1. Facility'!P9="", "",'1. Facility'!P9)</f>
        <v/>
      </c>
      <c r="T13" s="544" t="str">
        <f>IF('1. Facility'!Q9="", "",'1. Facility'!Q9)</f>
        <v/>
      </c>
      <c r="U13" s="544" t="str">
        <f>IF('1. Facility'!R9="", "",'1. Facility'!R9)</f>
        <v/>
      </c>
      <c r="V13" s="565">
        <f>IF('1. Facility'!S9="", "",'1. Facility'!S9)</f>
        <v>4</v>
      </c>
      <c r="W13" s="567"/>
      <c r="X13" s="14"/>
      <c r="Y13" s="14"/>
      <c r="Z13" s="14"/>
      <c r="AA13" s="14"/>
      <c r="AB13" s="14"/>
      <c r="AC13" s="14"/>
    </row>
    <row r="14" spans="1:29" ht="12.75" customHeight="1" x14ac:dyDescent="0.15">
      <c r="B14" s="545"/>
      <c r="C14" s="537"/>
      <c r="D14" s="83" t="s">
        <v>95</v>
      </c>
      <c r="E14" s="84" t="str">
        <f>IF('4a. Stationary  Combustion'!D9&gt;0, '4a. Stationary  Combustion'!D9,0)</f>
        <v/>
      </c>
      <c r="F14" s="84">
        <v>0</v>
      </c>
      <c r="G14" s="551"/>
      <c r="H14" s="548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66"/>
      <c r="W14" s="568"/>
      <c r="X14" s="14"/>
      <c r="Y14" s="14"/>
      <c r="Z14" s="14"/>
      <c r="AA14" s="14"/>
      <c r="AB14" s="14"/>
      <c r="AC14" s="14"/>
    </row>
    <row r="15" spans="1:29" ht="14" x14ac:dyDescent="0.15">
      <c r="B15" s="545"/>
      <c r="C15" s="538"/>
      <c r="D15" s="34" t="s">
        <v>25</v>
      </c>
      <c r="E15" s="83" t="str">
        <f>IF('5. Blasting-Tier C'!C8&gt;0, '5. Blasting-Tier C'!C8,0)</f>
        <v/>
      </c>
      <c r="F15" s="84">
        <v>0</v>
      </c>
      <c r="G15" s="551"/>
      <c r="H15" s="548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66"/>
      <c r="W15" s="568"/>
      <c r="X15" s="14"/>
      <c r="Y15" s="14"/>
      <c r="Z15" s="14"/>
      <c r="AA15" s="14"/>
      <c r="AB15" s="14"/>
      <c r="AC15" s="14"/>
    </row>
    <row r="16" spans="1:29" ht="14" x14ac:dyDescent="0.15">
      <c r="B16" s="545"/>
      <c r="C16" s="539"/>
      <c r="D16" s="34" t="s">
        <v>402</v>
      </c>
      <c r="E16" s="83" t="e">
        <f>IF('7a. HFC, PFC Tier C Screen'!C8&gt;0, '7a. HFC, PFC Tier C Screen'!C8, "")</f>
        <v>#REF!</v>
      </c>
      <c r="F16" s="84">
        <v>0</v>
      </c>
      <c r="G16" s="551"/>
      <c r="H16" s="548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66"/>
      <c r="W16" s="568"/>
      <c r="X16" s="14"/>
      <c r="Y16" s="14"/>
      <c r="Z16" s="14"/>
      <c r="AA16" s="14"/>
      <c r="AB16" s="14"/>
      <c r="AC16" s="14"/>
    </row>
    <row r="17" spans="2:29" x14ac:dyDescent="0.15">
      <c r="B17" s="546"/>
      <c r="C17" s="90" t="s">
        <v>96</v>
      </c>
      <c r="D17" s="83" t="s">
        <v>97</v>
      </c>
      <c r="E17" s="84" t="str">
        <f>IF('6a. Purchased Power Tier B'!D8&gt;0, '6a. Purchased Power Tier B'!D8, 0)</f>
        <v/>
      </c>
      <c r="F17" s="84">
        <v>0</v>
      </c>
      <c r="G17" s="84">
        <f>F17</f>
        <v>0</v>
      </c>
      <c r="H17" s="549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3"/>
      <c r="X17" s="14"/>
      <c r="Y17" s="14"/>
      <c r="Z17" s="14"/>
      <c r="AA17" s="14"/>
      <c r="AB17" s="14"/>
      <c r="AC17" s="14"/>
    </row>
    <row r="18" spans="2:29" x14ac:dyDescent="0.15">
      <c r="B18" s="544">
        <f>'1. Facility'!B10</f>
        <v>3</v>
      </c>
      <c r="C18" s="536" t="s">
        <v>92</v>
      </c>
      <c r="D18" s="83" t="s">
        <v>94</v>
      </c>
      <c r="E18" s="84" t="str">
        <f>IF('3a. Mobile Sources'!F9&gt;0, '3a. Mobile Sources'!F9, "")</f>
        <v/>
      </c>
      <c r="F18" s="84">
        <v>0</v>
      </c>
      <c r="G18" s="550">
        <f>SUM(F18:F21)</f>
        <v>0</v>
      </c>
      <c r="H18" s="547">
        <f>G18+G22</f>
        <v>0</v>
      </c>
      <c r="I18" s="544"/>
      <c r="J18" s="544" t="str">
        <f>IF('1. Facility'!G10="", "",'1. Facility'!G10)</f>
        <v/>
      </c>
      <c r="K18" s="544" t="str">
        <f>IF('1. Facility'!H10="", "",'1. Facility'!H10)</f>
        <v/>
      </c>
      <c r="L18" s="544" t="str">
        <f>IF('1. Facility'!I10="", "",'1. Facility'!I10)</f>
        <v/>
      </c>
      <c r="M18" s="544" t="str">
        <f>IF('1. Facility'!J10="", "",'1. Facility'!J10)</f>
        <v/>
      </c>
      <c r="N18" s="544" t="str">
        <f>IF('1. Facility'!K10="", "",'1. Facility'!K10)</f>
        <v/>
      </c>
      <c r="O18" s="544" t="e">
        <f>IF('1. Facility'!#REF!="", "",'1. Facility'!#REF!)</f>
        <v>#REF!</v>
      </c>
      <c r="P18" s="544" t="str">
        <f>IF('1. Facility'!L10="", "",'1. Facility'!L10)</f>
        <v/>
      </c>
      <c r="Q18" s="544" t="str">
        <f>IF('1. Facility'!M10="", "",'1. Facility'!M10)</f>
        <v/>
      </c>
      <c r="R18" s="544" t="str">
        <f>IF('1. Facility'!O10="", "",'1. Facility'!O10)</f>
        <v/>
      </c>
      <c r="S18" s="544" t="str">
        <f>IF('1. Facility'!P10="", "",'1. Facility'!P10)</f>
        <v/>
      </c>
      <c r="T18" s="544" t="str">
        <f>IF('1. Facility'!Q10="", "",'1. Facility'!Q10)</f>
        <v/>
      </c>
      <c r="U18" s="544" t="str">
        <f>IF('1. Facility'!R10="", "",'1. Facility'!R10)</f>
        <v/>
      </c>
      <c r="V18" s="565">
        <f>IF('1. Facility'!S10="", "",'1. Facility'!S10)</f>
        <v>4</v>
      </c>
      <c r="W18" s="567"/>
      <c r="X18" s="14"/>
      <c r="Y18" s="14"/>
      <c r="Z18" s="14"/>
      <c r="AA18" s="14"/>
      <c r="AB18" s="14"/>
      <c r="AC18" s="14"/>
    </row>
    <row r="19" spans="2:29" ht="12.75" customHeight="1" x14ac:dyDescent="0.15">
      <c r="B19" s="545"/>
      <c r="C19" s="537"/>
      <c r="D19" s="83" t="s">
        <v>95</v>
      </c>
      <c r="E19" s="84" t="str">
        <f>IF('4a. Stationary  Combustion'!D10&gt;0, '4a. Stationary  Combustion'!D10, 0)</f>
        <v/>
      </c>
      <c r="F19" s="84">
        <v>0</v>
      </c>
      <c r="G19" s="551"/>
      <c r="H19" s="548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66"/>
      <c r="W19" s="568"/>
      <c r="X19" s="14"/>
      <c r="Y19" s="14"/>
      <c r="Z19" s="14"/>
      <c r="AA19" s="14"/>
      <c r="AB19" s="14"/>
      <c r="AC19" s="14"/>
    </row>
    <row r="20" spans="2:29" ht="14" x14ac:dyDescent="0.15">
      <c r="B20" s="545"/>
      <c r="C20" s="538"/>
      <c r="D20" s="34" t="s">
        <v>25</v>
      </c>
      <c r="E20" s="89" t="str">
        <f>IF('5. Blasting-Tier C'!C9&gt;0, '5. Blasting-Tier C'!C9,0)</f>
        <v/>
      </c>
      <c r="F20" s="84">
        <v>0</v>
      </c>
      <c r="G20" s="551"/>
      <c r="H20" s="548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66"/>
      <c r="W20" s="568"/>
      <c r="X20" s="14"/>
      <c r="Y20" s="14"/>
      <c r="Z20" s="14"/>
      <c r="AA20" s="14"/>
      <c r="AB20" s="14"/>
      <c r="AC20" s="14"/>
    </row>
    <row r="21" spans="2:29" ht="14" x14ac:dyDescent="0.15">
      <c r="B21" s="545"/>
      <c r="C21" s="539"/>
      <c r="D21" s="34" t="s">
        <v>402</v>
      </c>
      <c r="E21" s="89" t="e">
        <f>IF('7a. HFC, PFC Tier C Screen'!C9&gt;0, '7a. HFC, PFC Tier C Screen'!C9, "")</f>
        <v>#REF!</v>
      </c>
      <c r="F21" s="84">
        <v>0</v>
      </c>
      <c r="G21" s="551"/>
      <c r="H21" s="548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66"/>
      <c r="W21" s="568"/>
      <c r="X21" s="14"/>
      <c r="Y21" s="14"/>
      <c r="Z21" s="14"/>
      <c r="AA21" s="14"/>
      <c r="AB21" s="14"/>
      <c r="AC21" s="14"/>
    </row>
    <row r="22" spans="2:29" x14ac:dyDescent="0.15">
      <c r="B22" s="546"/>
      <c r="C22" s="90" t="s">
        <v>96</v>
      </c>
      <c r="D22" s="83" t="s">
        <v>97</v>
      </c>
      <c r="E22" s="84" t="str">
        <f>IF('6a. Purchased Power Tier B'!D9&gt;0, '6a. Purchased Power Tier B'!D9, 0)</f>
        <v/>
      </c>
      <c r="F22" s="84">
        <v>0</v>
      </c>
      <c r="G22" s="84">
        <f>F22</f>
        <v>0</v>
      </c>
      <c r="H22" s="549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3"/>
      <c r="X22" s="14"/>
      <c r="Y22" s="14"/>
      <c r="Z22" s="14"/>
      <c r="AA22" s="14"/>
      <c r="AB22" s="14"/>
      <c r="AC22" s="14"/>
    </row>
    <row r="23" spans="2:29" x14ac:dyDescent="0.15">
      <c r="B23" s="544">
        <f>'1. Facility'!B11</f>
        <v>4</v>
      </c>
      <c r="C23" s="540" t="s">
        <v>92</v>
      </c>
      <c r="D23" s="83" t="s">
        <v>94</v>
      </c>
      <c r="E23" s="84" t="str">
        <f>IF('3a. Mobile Sources'!F10&gt;0, '3a. Mobile Sources'!F10, "")</f>
        <v/>
      </c>
      <c r="F23" s="84">
        <v>0</v>
      </c>
      <c r="G23" s="550">
        <f>SUM(F23:F26)</f>
        <v>0</v>
      </c>
      <c r="H23" s="547">
        <f>G23+G27</f>
        <v>0</v>
      </c>
      <c r="I23" s="544"/>
      <c r="J23" s="544" t="str">
        <f>IF('1. Facility'!G11="", "",'1. Facility'!G11)</f>
        <v/>
      </c>
      <c r="K23" s="544" t="str">
        <f>IF('1. Facility'!H11="", "",'1. Facility'!H11)</f>
        <v/>
      </c>
      <c r="L23" s="544" t="str">
        <f>IF('1. Facility'!I11="", "",'1. Facility'!I11)</f>
        <v/>
      </c>
      <c r="M23" s="544" t="str">
        <f>IF('1. Facility'!J11="", "",'1. Facility'!J11)</f>
        <v/>
      </c>
      <c r="N23" s="544" t="str">
        <f>IF('1. Facility'!K11="", "",'1. Facility'!K11)</f>
        <v/>
      </c>
      <c r="O23" s="544" t="e">
        <f>IF('1. Facility'!#REF!="", "",'1. Facility'!#REF!)</f>
        <v>#REF!</v>
      </c>
      <c r="P23" s="544" t="str">
        <f>IF('1. Facility'!L11="", "",'1. Facility'!L11)</f>
        <v/>
      </c>
      <c r="Q23" s="544" t="str">
        <f>IF('1. Facility'!M11="", "",'1. Facility'!M11)</f>
        <v/>
      </c>
      <c r="R23" s="544" t="str">
        <f>IF('1. Facility'!O11="", "",'1. Facility'!O11)</f>
        <v/>
      </c>
      <c r="S23" s="544" t="str">
        <f>IF('1. Facility'!P11="", "",'1. Facility'!P11)</f>
        <v/>
      </c>
      <c r="T23" s="544" t="str">
        <f>IF('1. Facility'!Q11="", "",'1. Facility'!Q11)</f>
        <v/>
      </c>
      <c r="U23" s="544" t="str">
        <f>IF('1. Facility'!R11="", "",'1. Facility'!R11)</f>
        <v/>
      </c>
      <c r="V23" s="565">
        <f>IF('1. Facility'!S11="", "",'1. Facility'!S11)</f>
        <v>4</v>
      </c>
      <c r="W23" s="567"/>
      <c r="X23" s="14"/>
      <c r="Y23" s="14"/>
      <c r="Z23" s="14"/>
      <c r="AA23" s="14"/>
      <c r="AB23" s="14"/>
      <c r="AC23" s="14"/>
    </row>
    <row r="24" spans="2:29" ht="12.75" customHeight="1" x14ac:dyDescent="0.15">
      <c r="B24" s="545"/>
      <c r="C24" s="541"/>
      <c r="D24" s="83" t="s">
        <v>95</v>
      </c>
      <c r="E24" s="84" t="str">
        <f>IF('4a. Stationary  Combustion'!D11&gt;0, '4a. Stationary  Combustion'!D11,0)</f>
        <v/>
      </c>
      <c r="F24" s="84">
        <v>0</v>
      </c>
      <c r="G24" s="551"/>
      <c r="H24" s="548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66"/>
      <c r="W24" s="568"/>
      <c r="X24" s="14"/>
      <c r="Y24" s="14"/>
      <c r="Z24" s="14"/>
      <c r="AA24" s="14"/>
      <c r="AB24" s="14"/>
      <c r="AC24" s="14"/>
    </row>
    <row r="25" spans="2:29" ht="14" x14ac:dyDescent="0.15">
      <c r="B25" s="545"/>
      <c r="C25" s="542"/>
      <c r="D25" s="34" t="s">
        <v>25</v>
      </c>
      <c r="E25" s="86" t="str">
        <f>IF('5. Blasting-Tier C'!C10&gt;0, '5. Blasting-Tier C'!C10,0)</f>
        <v/>
      </c>
      <c r="F25" s="84">
        <v>0</v>
      </c>
      <c r="G25" s="551"/>
      <c r="H25" s="548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66"/>
      <c r="W25" s="568"/>
      <c r="X25" s="14"/>
      <c r="Y25" s="14"/>
      <c r="Z25" s="14"/>
      <c r="AA25" s="14"/>
      <c r="AB25" s="14"/>
      <c r="AC25" s="14"/>
    </row>
    <row r="26" spans="2:29" ht="14" x14ac:dyDescent="0.15">
      <c r="B26" s="545"/>
      <c r="C26" s="543"/>
      <c r="D26" s="85" t="s">
        <v>402</v>
      </c>
      <c r="E26" s="86">
        <f>IF('7a. HFC, PFC Tier C Screen'!C10&gt;0, '7a. HFC, PFC Tier C Screen'!C10, "")</f>
        <v>105.05250000000001</v>
      </c>
      <c r="F26" s="84">
        <v>0</v>
      </c>
      <c r="G26" s="551"/>
      <c r="H26" s="548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66"/>
      <c r="W26" s="568"/>
      <c r="X26" s="14"/>
      <c r="Y26" s="14"/>
      <c r="Z26" s="14"/>
      <c r="AA26" s="14"/>
      <c r="AB26" s="14"/>
      <c r="AC26" s="14"/>
    </row>
    <row r="27" spans="2:29" x14ac:dyDescent="0.15">
      <c r="B27" s="546"/>
      <c r="C27" s="87" t="s">
        <v>96</v>
      </c>
      <c r="D27" s="83" t="s">
        <v>97</v>
      </c>
      <c r="E27" s="84" t="str">
        <f>IF('6a. Purchased Power Tier B'!D10&gt;0, '6a. Purchased Power Tier B'!D10,0)</f>
        <v/>
      </c>
      <c r="F27" s="84">
        <v>0</v>
      </c>
      <c r="G27" s="84">
        <f>F27</f>
        <v>0</v>
      </c>
      <c r="H27" s="549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3"/>
      <c r="X27" s="14"/>
      <c r="Y27" s="14"/>
      <c r="Z27" s="14"/>
      <c r="AA27" s="14"/>
      <c r="AB27" s="14"/>
      <c r="AC27" s="14"/>
    </row>
    <row r="28" spans="2:29" x14ac:dyDescent="0.15">
      <c r="B28" s="544">
        <f>'1. Facility'!B12</f>
        <v>5</v>
      </c>
      <c r="C28" s="540" t="s">
        <v>92</v>
      </c>
      <c r="D28" s="83" t="s">
        <v>94</v>
      </c>
      <c r="E28" s="84" t="str">
        <f>IF('3a. Mobile Sources'!F11&gt;0, '3a. Mobile Sources'!F11, "")</f>
        <v/>
      </c>
      <c r="F28" s="84"/>
      <c r="G28" s="550">
        <f>SUM(F28:F31)</f>
        <v>0</v>
      </c>
      <c r="H28" s="547">
        <f>G28+G32</f>
        <v>0</v>
      </c>
      <c r="I28" s="544"/>
      <c r="J28" s="544" t="str">
        <f>IF('1. Facility'!G12="", "",'1. Facility'!G12)</f>
        <v/>
      </c>
      <c r="K28" s="544" t="str">
        <f>IF('1. Facility'!H15="", "",'1. Facility'!H15)</f>
        <v/>
      </c>
      <c r="L28" s="544" t="str">
        <f>IF('1. Facility'!I15="", "",'1. Facility'!I15)</f>
        <v/>
      </c>
      <c r="M28" s="544" t="str">
        <f>IF('1. Facility'!J15="", "",'1. Facility'!J15)</f>
        <v/>
      </c>
      <c r="N28" s="544" t="str">
        <f>IF('1. Facility'!K15="", "",'1. Facility'!K15)</f>
        <v/>
      </c>
      <c r="O28" s="544" t="str">
        <f>IF('1. Facility'!L15="", "",'1. Facility'!L15)</f>
        <v/>
      </c>
      <c r="P28" s="544" t="str">
        <f>IF('1. Facility'!M15="", "",'1. Facility'!M15)</f>
        <v/>
      </c>
      <c r="Q28" s="544" t="str">
        <f>IF('1. Facility'!N15="", "",'1. Facility'!N15)</f>
        <v/>
      </c>
      <c r="R28" s="544" t="str">
        <f>IF('1. Facility'!O15="", "",'1. Facility'!O15)</f>
        <v/>
      </c>
      <c r="S28" s="544" t="str">
        <f>IF('1. Facility'!P15="", "",'1. Facility'!P15)</f>
        <v/>
      </c>
      <c r="T28" s="544" t="str">
        <f>IF('1. Facility'!Q15="", "",'1. Facility'!Q15)</f>
        <v/>
      </c>
      <c r="U28" s="544" t="str">
        <f>IF('1. Facility'!R15="", "",'1. Facility'!R15)</f>
        <v/>
      </c>
      <c r="V28" s="565" t="str">
        <f>IF('1. Facility'!S15="", "",'1. Facility'!S15)</f>
        <v/>
      </c>
      <c r="W28" s="567"/>
      <c r="X28" s="14"/>
      <c r="Y28" s="14"/>
      <c r="Z28" s="14"/>
      <c r="AA28" s="14"/>
      <c r="AB28" s="14"/>
      <c r="AC28" s="14"/>
    </row>
    <row r="29" spans="2:29" ht="12.75" customHeight="1" x14ac:dyDescent="0.15">
      <c r="B29" s="545"/>
      <c r="C29" s="541"/>
      <c r="D29" s="83" t="s">
        <v>95</v>
      </c>
      <c r="E29" s="84" t="str">
        <f>IF('4a. Stationary  Combustion'!D12&gt;0, '4a. Stationary  Combustion'!D12, 0)</f>
        <v/>
      </c>
      <c r="F29" s="84"/>
      <c r="G29" s="551"/>
      <c r="H29" s="548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66"/>
      <c r="W29" s="568"/>
      <c r="X29" s="14"/>
      <c r="Y29" s="14"/>
      <c r="Z29" s="14"/>
      <c r="AA29" s="14"/>
      <c r="AB29" s="14"/>
      <c r="AC29" s="14"/>
    </row>
    <row r="30" spans="2:29" ht="14" x14ac:dyDescent="0.15">
      <c r="B30" s="545"/>
      <c r="C30" s="542"/>
      <c r="D30" s="34" t="s">
        <v>25</v>
      </c>
      <c r="E30" s="86" t="str">
        <f>IF('5. Blasting-Tier C'!C11&gt;0, '5. Blasting-Tier C'!C11,0)</f>
        <v/>
      </c>
      <c r="F30" s="84"/>
      <c r="G30" s="551"/>
      <c r="H30" s="548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66"/>
      <c r="W30" s="568"/>
      <c r="X30" s="14"/>
      <c r="Y30" s="14"/>
      <c r="Z30" s="14"/>
      <c r="AA30" s="14"/>
      <c r="AB30" s="14"/>
      <c r="AC30" s="14"/>
    </row>
    <row r="31" spans="2:29" ht="14" x14ac:dyDescent="0.15">
      <c r="B31" s="545"/>
      <c r="C31" s="543"/>
      <c r="D31" s="85" t="s">
        <v>402</v>
      </c>
      <c r="E31" s="86" t="str">
        <f>IF('7a. HFC, PFC Tier C Screen'!C11&gt;0, '7a. HFC, PFC Tier C Screen'!C11,"")</f>
        <v/>
      </c>
      <c r="F31" s="84"/>
      <c r="G31" s="551"/>
      <c r="H31" s="548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66"/>
      <c r="W31" s="568"/>
      <c r="X31" s="14"/>
      <c r="Y31" s="14"/>
      <c r="Z31" s="14"/>
      <c r="AA31" s="14"/>
      <c r="AB31" s="14"/>
      <c r="AC31" s="14"/>
    </row>
    <row r="32" spans="2:29" x14ac:dyDescent="0.15">
      <c r="B32" s="546"/>
      <c r="C32" s="87" t="s">
        <v>96</v>
      </c>
      <c r="D32" s="83" t="s">
        <v>97</v>
      </c>
      <c r="E32" s="84" t="str">
        <f>IF('6a. Purchased Power Tier B'!D11&gt;0, '6a. Purchased Power Tier B'!D11, 0)</f>
        <v/>
      </c>
      <c r="F32" s="84"/>
      <c r="G32" s="84">
        <f>F32</f>
        <v>0</v>
      </c>
      <c r="H32" s="549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3"/>
      <c r="X32" s="14"/>
      <c r="Y32" s="14"/>
      <c r="Z32" s="14"/>
      <c r="AA32" s="14"/>
      <c r="AB32" s="14"/>
      <c r="AC32" s="14"/>
    </row>
    <row r="33" spans="2:29" x14ac:dyDescent="0.15">
      <c r="B33" s="544">
        <f>'1. Facility'!B13</f>
        <v>6</v>
      </c>
      <c r="C33" s="540" t="s">
        <v>92</v>
      </c>
      <c r="D33" s="83" t="s">
        <v>94</v>
      </c>
      <c r="E33" s="84" t="str">
        <f>IF('3a. Mobile Sources'!F12&gt;0, '3a. Mobile Sources'!F12, "")</f>
        <v/>
      </c>
      <c r="F33" s="84"/>
      <c r="G33" s="550">
        <f>SUM(F33:F36)</f>
        <v>0</v>
      </c>
      <c r="H33" s="547">
        <f>G33+G37</f>
        <v>0</v>
      </c>
      <c r="I33" s="544"/>
      <c r="J33" s="544" t="str">
        <f>IF('1. Facility'!G13="", "",'1. Facility'!G13)</f>
        <v/>
      </c>
      <c r="K33" s="544" t="str">
        <f>IF('1. Facility'!H18="", "",'1. Facility'!H18)</f>
        <v/>
      </c>
      <c r="L33" s="544" t="str">
        <f>IF('1. Facility'!I18="", "",'1. Facility'!I18)</f>
        <v/>
      </c>
      <c r="M33" s="544" t="str">
        <f>IF('1. Facility'!J18="", "",'1. Facility'!J18)</f>
        <v/>
      </c>
      <c r="N33" s="544" t="str">
        <f>IF('1. Facility'!K18="", "",'1. Facility'!K18)</f>
        <v/>
      </c>
      <c r="O33" s="544" t="str">
        <f>IF('1. Facility'!L18="", "",'1. Facility'!L18)</f>
        <v/>
      </c>
      <c r="P33" s="544" t="str">
        <f>IF('1. Facility'!M18="", "",'1. Facility'!M18)</f>
        <v/>
      </c>
      <c r="Q33" s="544" t="str">
        <f>IF('1. Facility'!N18="", "",'1. Facility'!N18)</f>
        <v/>
      </c>
      <c r="R33" s="544" t="str">
        <f>IF('1. Facility'!O18="", "",'1. Facility'!O18)</f>
        <v/>
      </c>
      <c r="S33" s="544" t="str">
        <f>IF('1. Facility'!P18="", "",'1. Facility'!P18)</f>
        <v/>
      </c>
      <c r="T33" s="544" t="str">
        <f>IF('1. Facility'!Q18="", "",'1. Facility'!Q18)</f>
        <v/>
      </c>
      <c r="U33" s="544" t="str">
        <f>IF('1. Facility'!R18="", "",'1. Facility'!R18)</f>
        <v/>
      </c>
      <c r="V33" s="565" t="str">
        <f>IF('1. Facility'!S18="", "",'1. Facility'!S18)</f>
        <v/>
      </c>
      <c r="W33" s="567"/>
      <c r="X33" s="14"/>
      <c r="Y33" s="14"/>
      <c r="Z33" s="14"/>
      <c r="AA33" s="14"/>
      <c r="AB33" s="14"/>
      <c r="AC33" s="14"/>
    </row>
    <row r="34" spans="2:29" ht="12.75" customHeight="1" x14ac:dyDescent="0.15">
      <c r="B34" s="545"/>
      <c r="C34" s="541"/>
      <c r="D34" s="83" t="s">
        <v>95</v>
      </c>
      <c r="E34" s="84" t="str">
        <f>IF('4a. Stationary  Combustion'!D13&gt;0, '4a. Stationary  Combustion'!D13, 0)</f>
        <v/>
      </c>
      <c r="F34" s="84"/>
      <c r="G34" s="551"/>
      <c r="H34" s="548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66"/>
      <c r="W34" s="568"/>
      <c r="X34" s="14"/>
      <c r="Y34" s="14"/>
      <c r="Z34" s="14"/>
      <c r="AA34" s="14"/>
      <c r="AB34" s="14"/>
      <c r="AC34" s="14"/>
    </row>
    <row r="35" spans="2:29" ht="14" x14ac:dyDescent="0.15">
      <c r="B35" s="545"/>
      <c r="C35" s="542"/>
      <c r="D35" s="34" t="s">
        <v>25</v>
      </c>
      <c r="E35" s="86" t="str">
        <f>IF('5. Blasting-Tier C'!C12&gt;0,'5. Blasting-Tier C'!C12, 0)</f>
        <v/>
      </c>
      <c r="F35" s="84"/>
      <c r="G35" s="551"/>
      <c r="H35" s="548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66"/>
      <c r="W35" s="568"/>
      <c r="X35" s="14"/>
      <c r="Y35" s="14"/>
      <c r="Z35" s="14"/>
      <c r="AA35" s="14"/>
      <c r="AB35" s="14"/>
      <c r="AC35" s="14"/>
    </row>
    <row r="36" spans="2:29" ht="14" x14ac:dyDescent="0.15">
      <c r="B36" s="545"/>
      <c r="C36" s="543"/>
      <c r="D36" s="85" t="s">
        <v>402</v>
      </c>
      <c r="E36" s="86" t="str">
        <f>IF('7a. HFC, PFC Tier C Screen'!C12&gt;0, '7a. HFC, PFC Tier C Screen'!C12, "")</f>
        <v/>
      </c>
      <c r="F36" s="84"/>
      <c r="G36" s="551"/>
      <c r="H36" s="548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66"/>
      <c r="W36" s="568"/>
      <c r="X36" s="14"/>
      <c r="Y36" s="14"/>
      <c r="Z36" s="14"/>
      <c r="AA36" s="14"/>
      <c r="AB36" s="14"/>
      <c r="AC36" s="14"/>
    </row>
    <row r="37" spans="2:29" x14ac:dyDescent="0.15">
      <c r="B37" s="546"/>
      <c r="C37" s="87" t="s">
        <v>96</v>
      </c>
      <c r="D37" s="83" t="s">
        <v>97</v>
      </c>
      <c r="E37" s="84" t="str">
        <f>IF('6a. Purchased Power Tier B'!D12&gt;0, '6a. Purchased Power Tier B'!D12, 0)</f>
        <v/>
      </c>
      <c r="F37" s="84"/>
      <c r="G37" s="84">
        <f>F37</f>
        <v>0</v>
      </c>
      <c r="H37" s="549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3"/>
      <c r="X37" s="14"/>
      <c r="Y37" s="14"/>
      <c r="Z37" s="14"/>
      <c r="AA37" s="14"/>
      <c r="AB37" s="14"/>
      <c r="AC37" s="14"/>
    </row>
    <row r="38" spans="2:29" x14ac:dyDescent="0.15">
      <c r="B38" s="544">
        <f>'1. Facility'!B14</f>
        <v>7</v>
      </c>
      <c r="C38" s="540" t="s">
        <v>92</v>
      </c>
      <c r="D38" s="83" t="s">
        <v>94</v>
      </c>
      <c r="E38" s="84" t="str">
        <f>IF('3a. Mobile Sources'!F13&gt;0, '3a. Mobile Sources'!F13, "")</f>
        <v/>
      </c>
      <c r="F38" s="84"/>
      <c r="G38" s="550">
        <f>SUM(F38:F41)</f>
        <v>0</v>
      </c>
      <c r="H38" s="547">
        <f>G38+G42</f>
        <v>0</v>
      </c>
      <c r="I38" s="544"/>
      <c r="J38" s="544" t="str">
        <f>IF('1. Facility'!G14="", "",'1. Facility'!G14)</f>
        <v/>
      </c>
      <c r="K38" s="544" t="str">
        <f>IF('1. Facility'!H22="", "",'1. Facility'!H22)</f>
        <v/>
      </c>
      <c r="L38" s="544" t="str">
        <f>IF('1. Facility'!I22="", "",'1. Facility'!I22)</f>
        <v/>
      </c>
      <c r="M38" s="544" t="str">
        <f>IF('1. Facility'!J22="", "",'1. Facility'!J22)</f>
        <v/>
      </c>
      <c r="N38" s="544" t="str">
        <f>IF('1. Facility'!K22="", "",'1. Facility'!K22)</f>
        <v/>
      </c>
      <c r="O38" s="544" t="str">
        <f>IF('1. Facility'!L22="", "",'1. Facility'!L22)</f>
        <v/>
      </c>
      <c r="P38" s="544" t="str">
        <f>IF('1. Facility'!D28="", "",'1. Facility'!D28)</f>
        <v/>
      </c>
      <c r="Q38" s="544" t="str">
        <f>IF('1. Facility'!E28="", "",'1. Facility'!E28)</f>
        <v/>
      </c>
      <c r="R38" s="544" t="str">
        <f>IF('1. Facility'!F28="", "",'1. Facility'!F28)</f>
        <v/>
      </c>
      <c r="S38" s="544" t="str">
        <f>IF('1. Facility'!G28="", "",'1. Facility'!G28)</f>
        <v/>
      </c>
      <c r="T38" s="544" t="str">
        <f>IF('1. Facility'!H28="", "",'1. Facility'!H28)</f>
        <v/>
      </c>
      <c r="U38" s="544" t="str">
        <f>IF('1. Facility'!I28="", "",'1. Facility'!I28)</f>
        <v/>
      </c>
      <c r="V38" s="565" t="str">
        <f>IF('1. Facility'!S22="", "",'1. Facility'!S22)</f>
        <v/>
      </c>
      <c r="W38" s="567"/>
      <c r="X38" s="14"/>
      <c r="Y38" s="14"/>
      <c r="Z38" s="14"/>
      <c r="AA38" s="14"/>
      <c r="AB38" s="14"/>
      <c r="AC38" s="14"/>
    </row>
    <row r="39" spans="2:29" ht="12.75" customHeight="1" x14ac:dyDescent="0.15">
      <c r="B39" s="545"/>
      <c r="C39" s="541"/>
      <c r="D39" s="83" t="s">
        <v>95</v>
      </c>
      <c r="E39" s="84" t="str">
        <f>IF('4a. Stationary  Combustion'!D14&gt;0, '4a. Stationary  Combustion'!D14, 0)</f>
        <v/>
      </c>
      <c r="F39" s="84"/>
      <c r="G39" s="551"/>
      <c r="H39" s="548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66"/>
      <c r="W39" s="568"/>
      <c r="X39" s="14"/>
      <c r="Y39" s="14"/>
      <c r="Z39" s="14"/>
      <c r="AA39" s="14"/>
      <c r="AB39" s="14"/>
      <c r="AC39" s="14"/>
    </row>
    <row r="40" spans="2:29" ht="14" x14ac:dyDescent="0.15">
      <c r="B40" s="545"/>
      <c r="C40" s="542"/>
      <c r="D40" s="34" t="s">
        <v>25</v>
      </c>
      <c r="E40" s="86" t="str">
        <f>IF('5. Blasting-Tier C'!C13&gt;0, '5. Blasting-Tier C'!C13, 0)</f>
        <v/>
      </c>
      <c r="F40" s="84"/>
      <c r="G40" s="551"/>
      <c r="H40" s="548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66"/>
      <c r="W40" s="568"/>
      <c r="X40" s="14"/>
      <c r="Y40" s="14"/>
      <c r="Z40" s="14"/>
      <c r="AA40" s="14"/>
      <c r="AB40" s="14"/>
      <c r="AC40" s="14"/>
    </row>
    <row r="41" spans="2:29" ht="14" x14ac:dyDescent="0.15">
      <c r="B41" s="545"/>
      <c r="C41" s="543"/>
      <c r="D41" s="85" t="s">
        <v>402</v>
      </c>
      <c r="E41" s="86" t="str">
        <f>IF('7a. HFC, PFC Tier C Screen'!C13&gt;0, '7a. HFC, PFC Tier C Screen'!C13, "")</f>
        <v/>
      </c>
      <c r="F41" s="84"/>
      <c r="G41" s="551"/>
      <c r="H41" s="548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66"/>
      <c r="W41" s="568"/>
      <c r="X41" s="14"/>
      <c r="Y41" s="14"/>
      <c r="Z41" s="14"/>
      <c r="AA41" s="14"/>
      <c r="AB41" s="14"/>
      <c r="AC41" s="14"/>
    </row>
    <row r="42" spans="2:29" x14ac:dyDescent="0.15">
      <c r="B42" s="546"/>
      <c r="C42" s="87" t="s">
        <v>96</v>
      </c>
      <c r="D42" s="83" t="s">
        <v>97</v>
      </c>
      <c r="E42" s="84" t="str">
        <f>IF('6a. Purchased Power Tier B'!D13&gt;0, '6a. Purchased Power Tier B'!D13, 0)</f>
        <v/>
      </c>
      <c r="F42" s="84"/>
      <c r="G42" s="84">
        <f>F42</f>
        <v>0</v>
      </c>
      <c r="H42" s="549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3"/>
      <c r="X42" s="14"/>
      <c r="Y42" s="14"/>
      <c r="Z42" s="14"/>
      <c r="AA42" s="14"/>
      <c r="AB42" s="14"/>
      <c r="AC42" s="14"/>
    </row>
    <row r="43" spans="2:29" x14ac:dyDescent="0.15">
      <c r="B43" s="544">
        <f>'1. Facility'!B15</f>
        <v>8</v>
      </c>
      <c r="C43" s="540" t="s">
        <v>92</v>
      </c>
      <c r="D43" s="83" t="s">
        <v>94</v>
      </c>
      <c r="E43" s="84" t="str">
        <f>IF('3a. Mobile Sources'!F14&gt;0, '3a. Mobile Sources'!F14, "")</f>
        <v/>
      </c>
      <c r="F43" s="84"/>
      <c r="G43" s="550">
        <f>SUM(F43:F46)</f>
        <v>0</v>
      </c>
      <c r="H43" s="547">
        <f>G43+G47</f>
        <v>0</v>
      </c>
      <c r="I43" s="544"/>
      <c r="J43" s="544" t="str">
        <f>IF('1. Facility'!G15="", "",'1. Facility'!G15)</f>
        <v/>
      </c>
      <c r="K43" s="544" t="str">
        <f>IF('1. Facility'!H15="", "",'1. Facility'!H15)</f>
        <v/>
      </c>
      <c r="L43" s="544" t="str">
        <f>IF('1. Facility'!I15="", "",'1. Facility'!I15)</f>
        <v/>
      </c>
      <c r="M43" s="544" t="str">
        <f>IF('1. Facility'!J26="", "",'1. Facility'!J26)</f>
        <v/>
      </c>
      <c r="N43" s="544" t="str">
        <f>IF('1. Facility'!K26="", "",'1. Facility'!K26)</f>
        <v/>
      </c>
      <c r="O43" s="544" t="str">
        <f>IF('1. Facility'!L26="", "",'1. Facility'!L26)</f>
        <v/>
      </c>
      <c r="P43" s="544" t="str">
        <f>IF('1. Facility'!M26="", "",'1. Facility'!M26)</f>
        <v/>
      </c>
      <c r="Q43" s="544" t="str">
        <f>IF('1. Facility'!N26="", "",'1. Facility'!N26)</f>
        <v/>
      </c>
      <c r="R43" s="544" t="str">
        <f>IF('1. Facility'!O26="", "",'1. Facility'!O26)</f>
        <v/>
      </c>
      <c r="S43" s="544" t="str">
        <f>IF('1. Facility'!P26="", "",'1. Facility'!P26)</f>
        <v/>
      </c>
      <c r="T43" s="544" t="str">
        <f>IF('1. Facility'!Q26="", "",'1. Facility'!Q26)</f>
        <v/>
      </c>
      <c r="U43" s="544" t="str">
        <f>IF('1. Facility'!R26="", "",'1. Facility'!R26)</f>
        <v/>
      </c>
      <c r="V43" s="565" t="str">
        <f>IF('1. Facility'!S26="", "",'1. Facility'!S26)</f>
        <v/>
      </c>
      <c r="W43" s="567"/>
      <c r="X43" s="14"/>
      <c r="Y43" s="14"/>
      <c r="Z43" s="14"/>
      <c r="AA43" s="14"/>
      <c r="AB43" s="14"/>
      <c r="AC43" s="14"/>
    </row>
    <row r="44" spans="2:29" ht="12.75" customHeight="1" x14ac:dyDescent="0.15">
      <c r="B44" s="545"/>
      <c r="C44" s="541"/>
      <c r="D44" s="83" t="s">
        <v>95</v>
      </c>
      <c r="E44" s="84" t="str">
        <f>IF('4a. Stationary  Combustion'!D15&gt;0, '4a. Stationary  Combustion'!D15, 0)</f>
        <v/>
      </c>
      <c r="F44" s="84"/>
      <c r="G44" s="551"/>
      <c r="H44" s="548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66"/>
      <c r="W44" s="568"/>
      <c r="X44" s="14"/>
      <c r="Y44" s="14"/>
      <c r="Z44" s="14"/>
      <c r="AA44" s="14"/>
      <c r="AB44" s="14"/>
      <c r="AC44" s="14"/>
    </row>
    <row r="45" spans="2:29" ht="14" x14ac:dyDescent="0.15">
      <c r="B45" s="545"/>
      <c r="C45" s="542"/>
      <c r="D45" s="34" t="s">
        <v>25</v>
      </c>
      <c r="E45" s="86" t="str">
        <f>IF('5. Blasting-Tier C'!C14&gt;0, '5. Blasting-Tier C'!C14, 0)</f>
        <v/>
      </c>
      <c r="F45" s="84"/>
      <c r="G45" s="551"/>
      <c r="H45" s="548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66"/>
      <c r="W45" s="568"/>
      <c r="X45" s="14"/>
      <c r="Y45" s="14"/>
      <c r="Z45" s="14"/>
      <c r="AA45" s="14"/>
      <c r="AB45" s="14"/>
      <c r="AC45" s="14"/>
    </row>
    <row r="46" spans="2:29" ht="14" x14ac:dyDescent="0.15">
      <c r="B46" s="545"/>
      <c r="C46" s="543"/>
      <c r="D46" s="85" t="s">
        <v>402</v>
      </c>
      <c r="E46" s="86" t="str">
        <f>IF('7a. HFC, PFC Tier C Screen'!C14&gt;0, '7a. HFC, PFC Tier C Screen'!C14, "")</f>
        <v/>
      </c>
      <c r="F46" s="84"/>
      <c r="G46" s="551"/>
      <c r="H46" s="548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66"/>
      <c r="W46" s="568"/>
      <c r="X46" s="14"/>
      <c r="Y46" s="14"/>
      <c r="Z46" s="14"/>
      <c r="AA46" s="14"/>
      <c r="AB46" s="14"/>
      <c r="AC46" s="14"/>
    </row>
    <row r="47" spans="2:29" x14ac:dyDescent="0.15">
      <c r="B47" s="546"/>
      <c r="C47" s="87" t="s">
        <v>96</v>
      </c>
      <c r="D47" s="83" t="s">
        <v>97</v>
      </c>
      <c r="E47" s="84" t="str">
        <f>IF('6a. Purchased Power Tier B'!D14&gt;0, '6a. Purchased Power Tier B'!D14, 0)</f>
        <v/>
      </c>
      <c r="F47" s="84"/>
      <c r="G47" s="84">
        <f>F47</f>
        <v>0</v>
      </c>
      <c r="H47" s="549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3"/>
      <c r="X47" s="14"/>
      <c r="Y47" s="14"/>
      <c r="Z47" s="14"/>
      <c r="AA47" s="14"/>
      <c r="AB47" s="14"/>
      <c r="AC47" s="14"/>
    </row>
    <row r="48" spans="2:29" x14ac:dyDescent="0.15">
      <c r="B48" s="544">
        <f>'1. Facility'!B16</f>
        <v>9</v>
      </c>
      <c r="C48" s="540" t="s">
        <v>92</v>
      </c>
      <c r="D48" s="83" t="s">
        <v>94</v>
      </c>
      <c r="E48" s="84" t="str">
        <f>IF('3a. Mobile Sources'!F15&gt;0, '3a. Mobile Sources'!F15, "")</f>
        <v/>
      </c>
      <c r="F48" s="84"/>
      <c r="G48" s="550">
        <f>SUM(F48:F51)</f>
        <v>0</v>
      </c>
      <c r="H48" s="547">
        <f>G48+G52</f>
        <v>0</v>
      </c>
      <c r="I48" s="544"/>
      <c r="J48" s="544" t="str">
        <f>IF('1. Facility'!G16="", "",'1. Facility'!G16)</f>
        <v/>
      </c>
      <c r="K48" s="544" t="str">
        <f>IF('1. Facility'!H16="", "",'1. Facility'!H16)</f>
        <v/>
      </c>
      <c r="L48" s="544" t="str">
        <f>IF('1. Facility'!I16="", "",'1. Facility'!I16)</f>
        <v/>
      </c>
      <c r="M48" s="544" t="str">
        <f>IF('1. Facility'!J30="", "",'1. Facility'!J30)</f>
        <v/>
      </c>
      <c r="N48" s="544" t="str">
        <f>IF('1. Facility'!K30="", "",'1. Facility'!K30)</f>
        <v/>
      </c>
      <c r="O48" s="544" t="str">
        <f>IF('1. Facility'!L30="", "",'1. Facility'!L30)</f>
        <v/>
      </c>
      <c r="P48" s="544" t="str">
        <f>IF('1. Facility'!M30="", "",'1. Facility'!M30)</f>
        <v/>
      </c>
      <c r="Q48" s="544" t="str">
        <f>IF('1. Facility'!N30="", "",'1. Facility'!N30)</f>
        <v/>
      </c>
      <c r="R48" s="544" t="str">
        <f>IF('1. Facility'!O30="", "",'1. Facility'!O30)</f>
        <v/>
      </c>
      <c r="S48" s="544" t="str">
        <f>IF('1. Facility'!P30="", "",'1. Facility'!P30)</f>
        <v/>
      </c>
      <c r="T48" s="544" t="str">
        <f>IF('1. Facility'!Q30="", "",'1. Facility'!Q30)</f>
        <v/>
      </c>
      <c r="U48" s="544" t="str">
        <f>IF('1. Facility'!R30="", "",'1. Facility'!R30)</f>
        <v/>
      </c>
      <c r="V48" s="565" t="str">
        <f>IF('1. Facility'!S30="", "",'1. Facility'!S30)</f>
        <v/>
      </c>
      <c r="W48" s="567"/>
      <c r="X48" s="14"/>
      <c r="Y48" s="14"/>
      <c r="Z48" s="14"/>
      <c r="AA48" s="14"/>
      <c r="AB48" s="14"/>
      <c r="AC48" s="14"/>
    </row>
    <row r="49" spans="2:29" ht="12.75" customHeight="1" x14ac:dyDescent="0.15">
      <c r="B49" s="545"/>
      <c r="C49" s="541"/>
      <c r="D49" s="83" t="s">
        <v>95</v>
      </c>
      <c r="E49" s="84" t="str">
        <f>IF('4a. Stationary  Combustion'!D16&gt;0, '4a. Stationary  Combustion'!D16, 0)</f>
        <v/>
      </c>
      <c r="F49" s="84"/>
      <c r="G49" s="551"/>
      <c r="H49" s="548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  <c r="V49" s="566"/>
      <c r="W49" s="568"/>
      <c r="X49" s="14"/>
      <c r="Y49" s="14"/>
      <c r="Z49" s="14"/>
      <c r="AA49" s="14"/>
      <c r="AB49" s="14"/>
      <c r="AC49" s="14"/>
    </row>
    <row r="50" spans="2:29" ht="14" x14ac:dyDescent="0.15">
      <c r="B50" s="545"/>
      <c r="C50" s="542"/>
      <c r="D50" s="34" t="s">
        <v>25</v>
      </c>
      <c r="E50" s="86" t="str">
        <f>IF('5. Blasting-Tier C'!C15&gt;0, '5. Blasting-Tier C'!C15,0)</f>
        <v/>
      </c>
      <c r="F50" s="84"/>
      <c r="G50" s="551"/>
      <c r="H50" s="548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66"/>
      <c r="W50" s="568"/>
      <c r="X50" s="14"/>
      <c r="Y50" s="14"/>
      <c r="Z50" s="14"/>
      <c r="AA50" s="14"/>
      <c r="AB50" s="14"/>
      <c r="AC50" s="14"/>
    </row>
    <row r="51" spans="2:29" ht="14" x14ac:dyDescent="0.15">
      <c r="B51" s="545"/>
      <c r="C51" s="543"/>
      <c r="D51" s="85" t="s">
        <v>402</v>
      </c>
      <c r="E51" s="86" t="str">
        <f>IF('7a. HFC, PFC Tier C Screen'!C15&gt;0, '7a. HFC, PFC Tier C Screen'!C15,"")</f>
        <v/>
      </c>
      <c r="F51" s="84"/>
      <c r="G51" s="551"/>
      <c r="H51" s="548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66"/>
      <c r="W51" s="568"/>
      <c r="X51" s="14"/>
      <c r="Y51" s="14"/>
      <c r="Z51" s="14"/>
      <c r="AA51" s="14"/>
      <c r="AB51" s="14"/>
      <c r="AC51" s="14"/>
    </row>
    <row r="52" spans="2:29" x14ac:dyDescent="0.15">
      <c r="B52" s="546"/>
      <c r="C52" s="87" t="s">
        <v>96</v>
      </c>
      <c r="D52" s="83" t="s">
        <v>97</v>
      </c>
      <c r="E52" s="84" t="str">
        <f>IF('6a. Purchased Power Tier B'!D15&gt;0, '6a. Purchased Power Tier B'!D15, 0)</f>
        <v/>
      </c>
      <c r="F52" s="84"/>
      <c r="G52" s="84">
        <f>F52</f>
        <v>0</v>
      </c>
      <c r="H52" s="549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3"/>
      <c r="X52" s="14"/>
      <c r="Y52" s="14"/>
      <c r="Z52" s="14"/>
      <c r="AA52" s="14"/>
      <c r="AB52" s="14"/>
      <c r="AC52" s="14"/>
    </row>
    <row r="53" spans="2:29" x14ac:dyDescent="0.15">
      <c r="B53" s="544">
        <f>'1. Facility'!B17</f>
        <v>10</v>
      </c>
      <c r="C53" s="540" t="s">
        <v>92</v>
      </c>
      <c r="D53" s="83" t="s">
        <v>94</v>
      </c>
      <c r="E53" s="84" t="str">
        <f>IF('3a. Mobile Sources'!F16&gt;0, '3a. Mobile Sources'!F16, "")</f>
        <v/>
      </c>
      <c r="F53" s="84"/>
      <c r="G53" s="550">
        <f>SUM(F53:F56)</f>
        <v>0</v>
      </c>
      <c r="H53" s="547">
        <f>G53+G57</f>
        <v>0</v>
      </c>
      <c r="I53" s="544"/>
      <c r="J53" s="544" t="str">
        <f>IF('1. Facility'!G17="", "",'1. Facility'!G17)</f>
        <v/>
      </c>
      <c r="K53" s="544" t="str">
        <f>IF('1. Facility'!H34="", "",'1. Facility'!H34)</f>
        <v/>
      </c>
      <c r="L53" s="544" t="str">
        <f>IF('1. Facility'!I34="", "",'1. Facility'!I34)</f>
        <v/>
      </c>
      <c r="M53" s="544" t="str">
        <f>IF('1. Facility'!J34="", "",'1. Facility'!J34)</f>
        <v/>
      </c>
      <c r="N53" s="544" t="str">
        <f>IF('1. Facility'!K34="", "",'1. Facility'!K34)</f>
        <v/>
      </c>
      <c r="O53" s="544" t="str">
        <f>IF('1. Facility'!L34="", "",'1. Facility'!L34)</f>
        <v/>
      </c>
      <c r="P53" s="544" t="str">
        <f>IF('1. Facility'!M34="", "",'1. Facility'!M34)</f>
        <v/>
      </c>
      <c r="Q53" s="544" t="str">
        <f>IF('1. Facility'!N34="", "",'1. Facility'!N34)</f>
        <v/>
      </c>
      <c r="R53" s="544" t="str">
        <f>IF('1. Facility'!O34="", "",'1. Facility'!O34)</f>
        <v/>
      </c>
      <c r="S53" s="544" t="str">
        <f>IF('1. Facility'!P34="", "",'1. Facility'!P34)</f>
        <v/>
      </c>
      <c r="T53" s="544" t="str">
        <f>IF('1. Facility'!Q34="", "",'1. Facility'!Q34)</f>
        <v/>
      </c>
      <c r="U53" s="544" t="str">
        <f>IF('1. Facility'!R34="", "",'1. Facility'!R34)</f>
        <v/>
      </c>
      <c r="V53" s="565" t="str">
        <f>IF('1. Facility'!S34="", "",'1. Facility'!S34)</f>
        <v/>
      </c>
      <c r="W53" s="567"/>
      <c r="X53" s="14"/>
      <c r="Y53" s="14"/>
      <c r="Z53" s="14"/>
      <c r="AA53" s="14"/>
      <c r="AB53" s="14"/>
      <c r="AC53" s="14"/>
    </row>
    <row r="54" spans="2:29" ht="12.75" customHeight="1" x14ac:dyDescent="0.15">
      <c r="B54" s="545"/>
      <c r="C54" s="541"/>
      <c r="D54" s="83" t="s">
        <v>95</v>
      </c>
      <c r="E54" s="84" t="str">
        <f>IF('4a. Stationary  Combustion'!D17&gt;0, '4a. Stationary  Combustion'!D17, 0)</f>
        <v/>
      </c>
      <c r="F54" s="84"/>
      <c r="G54" s="551"/>
      <c r="H54" s="548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66"/>
      <c r="W54" s="568"/>
      <c r="X54" s="14"/>
      <c r="Y54" s="14"/>
      <c r="Z54" s="14"/>
      <c r="AA54" s="14"/>
      <c r="AB54" s="14"/>
      <c r="AC54" s="14"/>
    </row>
    <row r="55" spans="2:29" ht="14" x14ac:dyDescent="0.15">
      <c r="B55" s="545"/>
      <c r="C55" s="542"/>
      <c r="D55" s="34" t="s">
        <v>25</v>
      </c>
      <c r="E55" s="86" t="str">
        <f>IF('5. Blasting-Tier C'!C16&gt;0, '5. Blasting-Tier C'!C16, 0)</f>
        <v/>
      </c>
      <c r="F55" s="84"/>
      <c r="G55" s="551"/>
      <c r="H55" s="548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66"/>
      <c r="W55" s="568"/>
      <c r="X55" s="14"/>
      <c r="Y55" s="14"/>
      <c r="Z55" s="14"/>
      <c r="AA55" s="14"/>
      <c r="AB55" s="14"/>
      <c r="AC55" s="14"/>
    </row>
    <row r="56" spans="2:29" ht="14" x14ac:dyDescent="0.15">
      <c r="B56" s="545"/>
      <c r="C56" s="543"/>
      <c r="D56" s="85" t="s">
        <v>402</v>
      </c>
      <c r="E56" s="86" t="str">
        <f>IF('7a. HFC, PFC Tier C Screen'!C16&gt;0, '7a. HFC, PFC Tier C Screen'!C16, "")</f>
        <v/>
      </c>
      <c r="F56" s="84"/>
      <c r="G56" s="551"/>
      <c r="H56" s="548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66"/>
      <c r="W56" s="568"/>
      <c r="X56" s="14"/>
      <c r="Y56" s="14"/>
      <c r="Z56" s="14"/>
      <c r="AA56" s="14"/>
      <c r="AB56" s="14"/>
      <c r="AC56" s="14"/>
    </row>
    <row r="57" spans="2:29" x14ac:dyDescent="0.15">
      <c r="B57" s="546"/>
      <c r="C57" s="87" t="s">
        <v>96</v>
      </c>
      <c r="D57" s="83" t="s">
        <v>97</v>
      </c>
      <c r="E57" s="84" t="str">
        <f>IF('6a. Purchased Power Tier B'!D16&gt;0, '6a. Purchased Power Tier B'!D16, 0)</f>
        <v/>
      </c>
      <c r="F57" s="84"/>
      <c r="G57" s="84">
        <f>F57</f>
        <v>0</v>
      </c>
      <c r="H57" s="549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3"/>
      <c r="X57" s="14"/>
      <c r="Y57" s="14"/>
      <c r="Z57" s="14"/>
      <c r="AA57" s="14"/>
      <c r="AB57" s="14"/>
      <c r="AC57" s="14"/>
    </row>
    <row r="58" spans="2:29" x14ac:dyDescent="0.15">
      <c r="B58" s="552" t="s">
        <v>611</v>
      </c>
      <c r="C58" s="553"/>
      <c r="D58" s="553"/>
      <c r="E58" s="554"/>
      <c r="F58" s="555"/>
      <c r="G58" s="91">
        <f>G8+G13+G18+G23+G28+G33+G38+G43+G48+G53</f>
        <v>1518.3782003868057</v>
      </c>
      <c r="H58" s="5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5"/>
      <c r="T58" s="15"/>
      <c r="U58" s="15"/>
      <c r="V58" s="10"/>
      <c r="W58" s="15"/>
      <c r="X58" s="14"/>
      <c r="Y58" s="14"/>
      <c r="Z58" s="14"/>
      <c r="AA58" s="14"/>
      <c r="AB58" s="14"/>
      <c r="AC58" s="14"/>
    </row>
    <row r="59" spans="2:29" x14ac:dyDescent="0.15">
      <c r="B59" s="552" t="s">
        <v>612</v>
      </c>
      <c r="C59" s="553"/>
      <c r="D59" s="553"/>
      <c r="E59" s="554"/>
      <c r="F59" s="555"/>
      <c r="G59" s="91">
        <f>G12+G17+G22+G27+G32+G37+G42+G47+G52+G57</f>
        <v>864.66099342647192</v>
      </c>
      <c r="H59" s="5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6"/>
      <c r="T59" s="16"/>
      <c r="U59" s="16"/>
      <c r="V59" s="11"/>
      <c r="W59" s="16"/>
      <c r="X59" s="14"/>
      <c r="Y59" s="14"/>
      <c r="Z59" s="14"/>
      <c r="AA59" s="14"/>
      <c r="AB59" s="14"/>
      <c r="AC59" s="14"/>
    </row>
    <row r="60" spans="2:29" x14ac:dyDescent="0.15">
      <c r="B60" s="533" t="s">
        <v>613</v>
      </c>
      <c r="C60" s="534"/>
      <c r="D60" s="534"/>
      <c r="E60" s="534"/>
      <c r="F60" s="535"/>
      <c r="G60" s="92">
        <f>G58+G59</f>
        <v>2383.0391938132775</v>
      </c>
      <c r="H60" s="14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4"/>
      <c r="U60" s="14"/>
      <c r="V60" s="22"/>
      <c r="W60" s="14"/>
      <c r="X60" s="14"/>
      <c r="Y60" s="14"/>
      <c r="Z60" s="14"/>
      <c r="AA60" s="14"/>
      <c r="AB60" s="14"/>
      <c r="AC60" s="14"/>
    </row>
    <row r="61" spans="2:29" x14ac:dyDescent="0.15">
      <c r="B61" s="570" t="s">
        <v>99</v>
      </c>
      <c r="C61" s="570"/>
      <c r="D61" s="570"/>
      <c r="E61" s="14"/>
      <c r="F61" s="14"/>
      <c r="G61" s="14"/>
      <c r="H61" s="14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4"/>
      <c r="U61" s="14"/>
      <c r="V61" s="22"/>
      <c r="W61" s="14"/>
      <c r="X61" s="14"/>
      <c r="Y61" s="14"/>
      <c r="Z61" s="14"/>
      <c r="AA61" s="14"/>
      <c r="AB61" s="14"/>
      <c r="AC61" s="14"/>
    </row>
    <row r="62" spans="2:29" x14ac:dyDescent="0.15">
      <c r="B62" s="14"/>
      <c r="C62" s="14"/>
      <c r="D62" s="14"/>
      <c r="E62" s="14"/>
      <c r="F62" s="14"/>
      <c r="G62" s="14"/>
      <c r="H62" s="14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  <c r="T62" s="14"/>
      <c r="U62" s="14"/>
      <c r="V62" s="22"/>
      <c r="W62" s="14"/>
      <c r="X62" s="14"/>
      <c r="Y62" s="14"/>
      <c r="Z62" s="14"/>
      <c r="AA62" s="14"/>
      <c r="AB62" s="14"/>
      <c r="AC62" s="14"/>
    </row>
    <row r="63" spans="2:29" x14ac:dyDescent="0.15">
      <c r="B63" s="14"/>
      <c r="C63" s="14"/>
      <c r="D63" s="14"/>
      <c r="E63" s="14"/>
      <c r="F63" s="14"/>
      <c r="G63" s="14"/>
      <c r="H63" s="531" t="s">
        <v>668</v>
      </c>
      <c r="I63" s="532"/>
      <c r="J63" s="532"/>
      <c r="K63" s="532"/>
      <c r="L63" s="532"/>
      <c r="M63" s="13"/>
      <c r="N63" s="13"/>
      <c r="O63" s="13"/>
      <c r="P63" s="13"/>
      <c r="Q63" s="13"/>
      <c r="R63" s="13"/>
      <c r="S63" s="14"/>
      <c r="T63" s="14"/>
      <c r="U63" s="14"/>
      <c r="V63" s="22"/>
      <c r="W63" s="14"/>
      <c r="X63" s="14"/>
      <c r="Y63" s="14"/>
      <c r="Z63" s="14"/>
      <c r="AA63" s="14"/>
      <c r="AB63" s="14"/>
      <c r="AC63" s="14"/>
    </row>
    <row r="64" spans="2:29" x14ac:dyDescent="0.15">
      <c r="B64" s="14"/>
      <c r="C64" s="517" t="s">
        <v>670</v>
      </c>
      <c r="D64" s="510"/>
      <c r="E64" s="14"/>
      <c r="F64" s="14"/>
      <c r="G64" s="14"/>
      <c r="H64" s="532"/>
      <c r="I64" s="532"/>
      <c r="J64" s="532"/>
      <c r="K64" s="532"/>
      <c r="L64" s="532"/>
      <c r="M64" s="13"/>
      <c r="N64" s="13"/>
      <c r="O64" s="13"/>
      <c r="P64" s="13"/>
      <c r="Q64" s="13"/>
      <c r="R64" s="13"/>
      <c r="S64" s="14"/>
      <c r="T64" s="14"/>
      <c r="U64" s="14"/>
      <c r="V64" s="22"/>
      <c r="W64" s="14"/>
      <c r="X64" s="14"/>
      <c r="Y64" s="14"/>
      <c r="Z64" s="14"/>
      <c r="AA64" s="14"/>
      <c r="AB64" s="14"/>
      <c r="AC64" s="14"/>
    </row>
    <row r="65" spans="2:29" x14ac:dyDescent="0.15">
      <c r="B65" s="14"/>
      <c r="C65" s="510"/>
      <c r="D65" s="510"/>
      <c r="E65" s="14"/>
      <c r="F65" s="14"/>
      <c r="G65" s="14"/>
      <c r="H65" s="532"/>
      <c r="I65" s="532"/>
      <c r="J65" s="532"/>
      <c r="K65" s="532"/>
      <c r="L65" s="532"/>
      <c r="M65" s="13"/>
      <c r="N65" s="13"/>
      <c r="O65" s="13"/>
      <c r="P65" s="13"/>
      <c r="Q65" s="13"/>
      <c r="R65" s="13"/>
      <c r="S65" s="14"/>
      <c r="T65" s="14"/>
      <c r="U65" s="14"/>
      <c r="V65" s="22"/>
      <c r="W65" s="14"/>
      <c r="X65" s="14"/>
      <c r="Y65" s="14"/>
      <c r="Z65" s="14"/>
      <c r="AA65" s="14"/>
      <c r="AB65" s="14"/>
      <c r="AC65" s="14"/>
    </row>
    <row r="66" spans="2:29" x14ac:dyDescent="0.15">
      <c r="B66" s="14"/>
      <c r="C66" s="510"/>
      <c r="D66" s="510"/>
      <c r="E66" s="14"/>
      <c r="F66" s="14"/>
      <c r="G66" s="14"/>
      <c r="H66" s="532"/>
      <c r="I66" s="532"/>
      <c r="J66" s="532"/>
      <c r="K66" s="532"/>
      <c r="L66" s="532"/>
      <c r="M66" s="13"/>
      <c r="N66" s="13"/>
      <c r="O66" s="13"/>
      <c r="P66" s="13"/>
      <c r="Q66" s="13"/>
      <c r="R66" s="13"/>
      <c r="S66" s="14"/>
      <c r="T66" s="14"/>
      <c r="U66" s="14"/>
      <c r="V66" s="22"/>
      <c r="W66" s="14"/>
      <c r="X66" s="14"/>
      <c r="Y66" s="14"/>
      <c r="Z66" s="14"/>
      <c r="AA66" s="14"/>
      <c r="AB66" s="14"/>
      <c r="AC66" s="14"/>
    </row>
    <row r="67" spans="2:29" x14ac:dyDescent="0.15">
      <c r="B67" s="4"/>
      <c r="C67" s="510"/>
      <c r="D67" s="510"/>
      <c r="E67" s="4"/>
      <c r="F67" s="4"/>
      <c r="G67" s="4"/>
      <c r="H67" s="532"/>
      <c r="I67" s="532"/>
      <c r="J67" s="532"/>
      <c r="K67" s="532"/>
      <c r="L67" s="532"/>
      <c r="M67" s="12"/>
      <c r="N67" s="12"/>
      <c r="O67" s="12"/>
      <c r="P67" s="12"/>
      <c r="Q67" s="12"/>
      <c r="R67" s="12"/>
      <c r="S67" s="4"/>
      <c r="T67" s="4"/>
      <c r="U67" s="4"/>
      <c r="V67" s="21"/>
      <c r="W67" s="4"/>
    </row>
    <row r="68" spans="2:29" x14ac:dyDescent="0.15">
      <c r="B68" s="4"/>
      <c r="C68" s="510"/>
      <c r="D68" s="510"/>
      <c r="E68" s="4"/>
      <c r="F68" s="4"/>
      <c r="G68" s="4"/>
      <c r="H68" s="532"/>
      <c r="I68" s="532"/>
      <c r="J68" s="532"/>
      <c r="K68" s="532"/>
      <c r="L68" s="532"/>
      <c r="M68" s="12"/>
      <c r="N68" s="12"/>
      <c r="O68" s="12"/>
      <c r="P68" s="12"/>
      <c r="Q68" s="12"/>
      <c r="R68" s="12"/>
      <c r="S68" s="4"/>
      <c r="T68" s="4"/>
      <c r="U68" s="4"/>
      <c r="V68" s="21"/>
      <c r="W68" s="4"/>
    </row>
    <row r="69" spans="2:29" x14ac:dyDescent="0.15">
      <c r="C69" s="510"/>
      <c r="D69" s="510"/>
    </row>
  </sheetData>
  <mergeCells count="214">
    <mergeCell ref="U53:U57"/>
    <mergeCell ref="V53:V57"/>
    <mergeCell ref="W53:W57"/>
    <mergeCell ref="Q53:Q57"/>
    <mergeCell ref="R53:R57"/>
    <mergeCell ref="S53:S57"/>
    <mergeCell ref="T53:T57"/>
    <mergeCell ref="W48:W52"/>
    <mergeCell ref="B53:B57"/>
    <mergeCell ref="I53:I57"/>
    <mergeCell ref="J53:J57"/>
    <mergeCell ref="K53:K57"/>
    <mergeCell ref="L53:L57"/>
    <mergeCell ref="M53:M57"/>
    <mergeCell ref="N53:N57"/>
    <mergeCell ref="O53:O57"/>
    <mergeCell ref="P53:P57"/>
    <mergeCell ref="Q48:Q52"/>
    <mergeCell ref="R48:R52"/>
    <mergeCell ref="S48:S52"/>
    <mergeCell ref="T48:T52"/>
    <mergeCell ref="U48:U52"/>
    <mergeCell ref="V48:V52"/>
    <mergeCell ref="K48:K52"/>
    <mergeCell ref="L48:L52"/>
    <mergeCell ref="M48:M52"/>
    <mergeCell ref="N48:N52"/>
    <mergeCell ref="O48:O52"/>
    <mergeCell ref="P48:P52"/>
    <mergeCell ref="B48:B52"/>
    <mergeCell ref="I48:I52"/>
    <mergeCell ref="J48:J52"/>
    <mergeCell ref="H48:H52"/>
    <mergeCell ref="G48:G51"/>
    <mergeCell ref="C48:C51"/>
    <mergeCell ref="U43:U47"/>
    <mergeCell ref="V43:V47"/>
    <mergeCell ref="W43:W47"/>
    <mergeCell ref="L43:L47"/>
    <mergeCell ref="M43:M47"/>
    <mergeCell ref="N43:N47"/>
    <mergeCell ref="O43:O47"/>
    <mergeCell ref="P43:P47"/>
    <mergeCell ref="Q43:Q47"/>
    <mergeCell ref="K43:K47"/>
    <mergeCell ref="H43:H47"/>
    <mergeCell ref="G43:G46"/>
    <mergeCell ref="C43:C46"/>
    <mergeCell ref="R38:R42"/>
    <mergeCell ref="S38:S42"/>
    <mergeCell ref="T38:T42"/>
    <mergeCell ref="R43:R47"/>
    <mergeCell ref="S43:S47"/>
    <mergeCell ref="T43:T47"/>
    <mergeCell ref="V33:V37"/>
    <mergeCell ref="W33:W37"/>
    <mergeCell ref="B38:B42"/>
    <mergeCell ref="I38:I42"/>
    <mergeCell ref="J38:J42"/>
    <mergeCell ref="K38:K42"/>
    <mergeCell ref="H38:H42"/>
    <mergeCell ref="G38:G41"/>
    <mergeCell ref="N33:N37"/>
    <mergeCell ref="O33:O37"/>
    <mergeCell ref="P33:P37"/>
    <mergeCell ref="Q33:Q37"/>
    <mergeCell ref="R33:R37"/>
    <mergeCell ref="S33:S37"/>
    <mergeCell ref="U38:U42"/>
    <mergeCell ref="V38:V42"/>
    <mergeCell ref="W38:W42"/>
    <mergeCell ref="L38:L42"/>
    <mergeCell ref="M38:M42"/>
    <mergeCell ref="N38:N42"/>
    <mergeCell ref="O38:O42"/>
    <mergeCell ref="P38:P42"/>
    <mergeCell ref="Q38:Q42"/>
    <mergeCell ref="U28:U32"/>
    <mergeCell ref="V28:V32"/>
    <mergeCell ref="W28:W32"/>
    <mergeCell ref="B33:B37"/>
    <mergeCell ref="I33:I37"/>
    <mergeCell ref="J33:J37"/>
    <mergeCell ref="K33:K37"/>
    <mergeCell ref="C33:C36"/>
    <mergeCell ref="L33:L37"/>
    <mergeCell ref="M33:M37"/>
    <mergeCell ref="O28:O32"/>
    <mergeCell ref="P28:P32"/>
    <mergeCell ref="Q28:Q32"/>
    <mergeCell ref="R28:R32"/>
    <mergeCell ref="S28:S32"/>
    <mergeCell ref="T28:T32"/>
    <mergeCell ref="I28:I32"/>
    <mergeCell ref="J28:J32"/>
    <mergeCell ref="K28:K32"/>
    <mergeCell ref="L28:L32"/>
    <mergeCell ref="M28:M32"/>
    <mergeCell ref="N28:N32"/>
    <mergeCell ref="T33:T37"/>
    <mergeCell ref="U33:U37"/>
    <mergeCell ref="U23:U27"/>
    <mergeCell ref="V23:V27"/>
    <mergeCell ref="W23:W27"/>
    <mergeCell ref="W18:W22"/>
    <mergeCell ref="I23:I27"/>
    <mergeCell ref="J23:J27"/>
    <mergeCell ref="K23:K27"/>
    <mergeCell ref="L23:L27"/>
    <mergeCell ref="M23:M27"/>
    <mergeCell ref="N23:N27"/>
    <mergeCell ref="O23:O27"/>
    <mergeCell ref="P23:P27"/>
    <mergeCell ref="Q23:Q27"/>
    <mergeCell ref="P18:P22"/>
    <mergeCell ref="Q18:Q22"/>
    <mergeCell ref="R18:R22"/>
    <mergeCell ref="S18:S22"/>
    <mergeCell ref="U18:U22"/>
    <mergeCell ref="V18:V22"/>
    <mergeCell ref="N8:N12"/>
    <mergeCell ref="S13:S17"/>
    <mergeCell ref="T13:T17"/>
    <mergeCell ref="U13:U17"/>
    <mergeCell ref="V13:V17"/>
    <mergeCell ref="W13:W17"/>
    <mergeCell ref="I18:I22"/>
    <mergeCell ref="J18:J22"/>
    <mergeCell ref="K18:K22"/>
    <mergeCell ref="L18:L22"/>
    <mergeCell ref="M18:M22"/>
    <mergeCell ref="N18:N22"/>
    <mergeCell ref="O18:O22"/>
    <mergeCell ref="B61:D61"/>
    <mergeCell ref="T18:T22"/>
    <mergeCell ref="B18:B22"/>
    <mergeCell ref="H28:H32"/>
    <mergeCell ref="H33:H37"/>
    <mergeCell ref="G28:G31"/>
    <mergeCell ref="G33:G36"/>
    <mergeCell ref="B13:B17"/>
    <mergeCell ref="P13:P17"/>
    <mergeCell ref="H18:H22"/>
    <mergeCell ref="H23:H27"/>
    <mergeCell ref="H53:H57"/>
    <mergeCell ref="I13:I17"/>
    <mergeCell ref="J13:J17"/>
    <mergeCell ref="K13:K17"/>
    <mergeCell ref="L13:L17"/>
    <mergeCell ref="M13:M17"/>
    <mergeCell ref="N13:N17"/>
    <mergeCell ref="O13:O17"/>
    <mergeCell ref="R23:R27"/>
    <mergeCell ref="S23:S27"/>
    <mergeCell ref="T23:T27"/>
    <mergeCell ref="I43:I47"/>
    <mergeCell ref="J43:J47"/>
    <mergeCell ref="W6:W7"/>
    <mergeCell ref="C6:C7"/>
    <mergeCell ref="V6:V7"/>
    <mergeCell ref="J6:J7"/>
    <mergeCell ref="S6:U6"/>
    <mergeCell ref="K6:R6"/>
    <mergeCell ref="H8:H12"/>
    <mergeCell ref="Q13:Q17"/>
    <mergeCell ref="R13:R17"/>
    <mergeCell ref="H13:H17"/>
    <mergeCell ref="U8:U12"/>
    <mergeCell ref="V8:V12"/>
    <mergeCell ref="W8:W12"/>
    <mergeCell ref="O8:O12"/>
    <mergeCell ref="P8:P12"/>
    <mergeCell ref="Q8:Q12"/>
    <mergeCell ref="R8:R12"/>
    <mergeCell ref="S8:S12"/>
    <mergeCell ref="T8:T12"/>
    <mergeCell ref="I8:I12"/>
    <mergeCell ref="J8:J12"/>
    <mergeCell ref="K8:K12"/>
    <mergeCell ref="L8:L12"/>
    <mergeCell ref="M8:M12"/>
    <mergeCell ref="B6:B7"/>
    <mergeCell ref="D6:D7"/>
    <mergeCell ref="E6:E7"/>
    <mergeCell ref="F6:F7"/>
    <mergeCell ref="I6:I7"/>
    <mergeCell ref="G6:G7"/>
    <mergeCell ref="H6:H7"/>
    <mergeCell ref="A4:D4"/>
    <mergeCell ref="A3:D3"/>
    <mergeCell ref="J1:N3"/>
    <mergeCell ref="H63:L68"/>
    <mergeCell ref="C64:D69"/>
    <mergeCell ref="B60:F60"/>
    <mergeCell ref="C8:C11"/>
    <mergeCell ref="C13:C16"/>
    <mergeCell ref="C18:C21"/>
    <mergeCell ref="C23:C26"/>
    <mergeCell ref="C28:C31"/>
    <mergeCell ref="B8:B12"/>
    <mergeCell ref="B23:B27"/>
    <mergeCell ref="G8:G11"/>
    <mergeCell ref="G13:G16"/>
    <mergeCell ref="G18:G21"/>
    <mergeCell ref="G23:G26"/>
    <mergeCell ref="B58:F58"/>
    <mergeCell ref="B59:F59"/>
    <mergeCell ref="C53:C56"/>
    <mergeCell ref="G53:G56"/>
    <mergeCell ref="B28:B32"/>
    <mergeCell ref="C38:C41"/>
    <mergeCell ref="B43:B47"/>
    <mergeCell ref="A1:F1"/>
    <mergeCell ref="A2:I2"/>
  </mergeCells>
  <phoneticPr fontId="5" type="noConversion"/>
  <pageMargins left="0.25" right="0.25" top="0.75" bottom="0.75" header="0.5" footer="0.5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296"/>
  <sheetViews>
    <sheetView tabSelected="1" topLeftCell="A21" workbookViewId="0">
      <selection activeCell="A24" sqref="A24:Q24"/>
    </sheetView>
  </sheetViews>
  <sheetFormatPr baseColWidth="10" defaultColWidth="9.1640625" defaultRowHeight="13" x14ac:dyDescent="0.15"/>
  <cols>
    <col min="1" max="1" width="11.5" style="167" customWidth="1"/>
    <col min="2" max="2" width="18.5" style="167" customWidth="1"/>
    <col min="3" max="3" width="20.5" style="78" customWidth="1"/>
    <col min="4" max="4" width="12" style="78" customWidth="1"/>
    <col min="5" max="5" width="11.5" style="78" customWidth="1"/>
    <col min="6" max="6" width="11.33203125" style="78" customWidth="1"/>
    <col min="7" max="7" width="13.83203125" style="78" customWidth="1"/>
    <col min="8" max="8" width="12.6640625" style="78" customWidth="1"/>
    <col min="9" max="9" width="14.5" style="78" customWidth="1"/>
    <col min="10" max="12" width="13.83203125" style="78" customWidth="1"/>
    <col min="13" max="13" width="15.5" style="78" customWidth="1"/>
    <col min="14" max="15" width="13.83203125" style="78" customWidth="1"/>
    <col min="16" max="16" width="17.33203125" style="94" customWidth="1"/>
    <col min="17" max="17" width="17.5" style="94" customWidth="1"/>
    <col min="18" max="22" width="13.83203125" style="94" customWidth="1"/>
    <col min="23" max="23" width="10.6640625" style="94" customWidth="1"/>
    <col min="24" max="24" width="11.33203125" style="94" customWidth="1"/>
    <col min="25" max="25" width="12.1640625" style="94" customWidth="1"/>
    <col min="26" max="63" width="9.1640625" style="94"/>
    <col min="64" max="16384" width="9.1640625" style="78"/>
  </cols>
  <sheetData>
    <row r="1" spans="1:63" s="93" customFormat="1" ht="24" customHeight="1" x14ac:dyDescent="0.2">
      <c r="A1" s="571" t="s">
        <v>328</v>
      </c>
      <c r="B1" s="571"/>
      <c r="C1" s="571"/>
      <c r="D1" s="571"/>
      <c r="E1" s="571"/>
      <c r="H1" s="572" t="s">
        <v>110</v>
      </c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</row>
    <row r="2" spans="1:63" s="95" customFormat="1" ht="13.5" customHeight="1" x14ac:dyDescent="0.2">
      <c r="A2" s="573" t="s">
        <v>759</v>
      </c>
      <c r="B2" s="574"/>
      <c r="C2" s="574"/>
      <c r="D2" s="574"/>
      <c r="E2" s="574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</row>
    <row r="3" spans="1:63" s="95" customFormat="1" ht="13.5" customHeight="1" x14ac:dyDescent="0.2">
      <c r="A3" s="573" t="s">
        <v>755</v>
      </c>
      <c r="B3" s="574"/>
      <c r="C3" s="574"/>
      <c r="D3" s="574"/>
      <c r="E3" s="574"/>
      <c r="F3" s="575" t="s">
        <v>669</v>
      </c>
      <c r="G3" s="575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</row>
    <row r="4" spans="1:63" s="95" customFormat="1" ht="13.5" customHeight="1" x14ac:dyDescent="0.15">
      <c r="A4" s="576" t="s">
        <v>687</v>
      </c>
      <c r="B4" s="576"/>
      <c r="F4" s="575"/>
      <c r="G4" s="575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</row>
    <row r="5" spans="1:63" s="95" customFormat="1" ht="20.25" customHeight="1" x14ac:dyDescent="0.2">
      <c r="A5" s="582" t="s">
        <v>133</v>
      </c>
      <c r="B5" s="583"/>
      <c r="C5" s="583"/>
      <c r="D5" s="583"/>
      <c r="E5" s="583"/>
      <c r="F5" s="584"/>
      <c r="H5" s="585" t="s">
        <v>339</v>
      </c>
      <c r="I5" s="586"/>
      <c r="K5" s="585" t="s">
        <v>373</v>
      </c>
      <c r="L5" s="587"/>
      <c r="M5" s="587"/>
      <c r="N5" s="587"/>
      <c r="O5" s="58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</row>
    <row r="6" spans="1:63" s="95" customFormat="1" ht="33" customHeight="1" x14ac:dyDescent="0.15">
      <c r="A6" s="99" t="s">
        <v>128</v>
      </c>
      <c r="B6" s="99" t="s">
        <v>130</v>
      </c>
      <c r="C6" s="99" t="s">
        <v>4</v>
      </c>
      <c r="D6" s="99" t="s">
        <v>5</v>
      </c>
      <c r="E6" s="99" t="s">
        <v>6</v>
      </c>
      <c r="F6" s="99" t="s">
        <v>131</v>
      </c>
      <c r="H6" s="99" t="s">
        <v>337</v>
      </c>
      <c r="I6" s="99" t="s">
        <v>338</v>
      </c>
      <c r="K6" s="99" t="s">
        <v>75</v>
      </c>
      <c r="L6" s="588" t="s">
        <v>369</v>
      </c>
      <c r="M6" s="589"/>
      <c r="N6" s="589"/>
      <c r="O6" s="590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 s="95" customFormat="1" ht="17.25" customHeight="1" x14ac:dyDescent="0.2">
      <c r="A7" s="100">
        <f>'1. Facility'!B8</f>
        <v>1</v>
      </c>
      <c r="B7" s="101">
        <f>IF(N25&gt;0, N25, "")</f>
        <v>1513.902040286376</v>
      </c>
      <c r="C7" s="101" t="str">
        <f>IF(N86&gt;0, N86, "")</f>
        <v/>
      </c>
      <c r="D7" s="101" t="str">
        <f>IF(N107&gt;0, N107, "")</f>
        <v/>
      </c>
      <c r="E7" s="101" t="str">
        <f>IF(N128&gt;0, N128, "")</f>
        <v/>
      </c>
      <c r="F7" s="101">
        <f>IF(SUM(B7:E7)&gt;0, SUM(B7:E7), "")</f>
        <v>1513.902040286376</v>
      </c>
      <c r="H7" s="308" t="s">
        <v>340</v>
      </c>
      <c r="I7" s="472">
        <v>1</v>
      </c>
      <c r="K7" s="103">
        <v>1</v>
      </c>
      <c r="L7" s="579" t="s">
        <v>461</v>
      </c>
      <c r="M7" s="580"/>
      <c r="N7" s="580"/>
      <c r="O7" s="581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</row>
    <row r="8" spans="1:63" s="95" customFormat="1" ht="17.25" customHeight="1" x14ac:dyDescent="0.2">
      <c r="A8" s="100">
        <f>'1. Facility'!B9</f>
        <v>2</v>
      </c>
      <c r="B8" s="101" t="str">
        <f>IF(N31&gt;0, N31, "")</f>
        <v/>
      </c>
      <c r="C8" s="101" t="str">
        <f>IF(N88&gt;0, N88, "")</f>
        <v/>
      </c>
      <c r="D8" s="101" t="str">
        <f>IF(N109&gt;0, N109, "")</f>
        <v/>
      </c>
      <c r="E8" s="101" t="str">
        <f>IF(N130&gt;0, N130, "")</f>
        <v/>
      </c>
      <c r="F8" s="101" t="str">
        <f>IF(SUM(B8:E8)&gt;0, SUM(B8:E8), "")</f>
        <v/>
      </c>
      <c r="H8" s="308" t="s">
        <v>341</v>
      </c>
      <c r="I8" s="472">
        <v>21</v>
      </c>
      <c r="K8" s="103"/>
      <c r="L8" s="579" t="s">
        <v>462</v>
      </c>
      <c r="M8" s="580"/>
      <c r="N8" s="580"/>
      <c r="O8" s="581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</row>
    <row r="9" spans="1:63" s="95" customFormat="1" ht="16.5" customHeight="1" x14ac:dyDescent="0.2">
      <c r="A9" s="100">
        <f>'1. Facility'!B10</f>
        <v>3</v>
      </c>
      <c r="B9" s="101" t="str">
        <f>IF(N37&gt;0, N37, "")</f>
        <v/>
      </c>
      <c r="C9" s="101" t="str">
        <f>IF(N90&gt;0, N90, "")</f>
        <v/>
      </c>
      <c r="D9" s="101" t="str">
        <f>IF(N111&gt;0, N111, "")</f>
        <v/>
      </c>
      <c r="E9" s="101" t="str">
        <f>IF(N132&gt;0, N132, "")</f>
        <v/>
      </c>
      <c r="F9" s="101" t="str">
        <f>IF(SUM(B9:E9)&gt;0, SUM(B9:E9), "")</f>
        <v/>
      </c>
      <c r="H9" s="308" t="s">
        <v>342</v>
      </c>
      <c r="I9" s="472">
        <v>310</v>
      </c>
      <c r="K9" s="103"/>
      <c r="L9" s="579"/>
      <c r="M9" s="580"/>
      <c r="N9" s="580"/>
      <c r="O9" s="581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</row>
    <row r="10" spans="1:63" s="95" customFormat="1" ht="13.5" customHeight="1" x14ac:dyDescent="0.15">
      <c r="A10" s="100">
        <f>'1. Facility'!B11</f>
        <v>4</v>
      </c>
      <c r="B10" s="101" t="str">
        <f>IF(N43&gt;0, N43, "")</f>
        <v/>
      </c>
      <c r="C10" s="101" t="str">
        <f>IF(N92&gt;0, N92, "")</f>
        <v/>
      </c>
      <c r="D10" s="101" t="str">
        <f>IF(N113&gt;0, N113, "")</f>
        <v/>
      </c>
      <c r="E10" s="101" t="s">
        <v>200</v>
      </c>
      <c r="F10" s="101" t="str">
        <f>IF(SUM(B10:E10)&gt;0, SUM(B10:E10), "")</f>
        <v/>
      </c>
      <c r="H10" s="94"/>
      <c r="I10" s="94"/>
      <c r="K10" s="103">
        <v>2</v>
      </c>
      <c r="L10" s="579" t="s">
        <v>463</v>
      </c>
      <c r="M10" s="580"/>
      <c r="N10" s="580"/>
      <c r="O10" s="581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</row>
    <row r="11" spans="1:63" s="95" customFormat="1" ht="13.5" customHeight="1" x14ac:dyDescent="0.15">
      <c r="A11" s="100">
        <f>'1. Facility'!B12</f>
        <v>5</v>
      </c>
      <c r="B11" s="101" t="str">
        <f>IF(N49&gt;0, N49, "")</f>
        <v/>
      </c>
      <c r="C11" s="101" t="str">
        <f>IF(N94&gt;0, N94, "")</f>
        <v/>
      </c>
      <c r="D11" s="101" t="str">
        <f>IF(N115&gt;0, N115, "")</f>
        <v/>
      </c>
      <c r="E11" s="101" t="str">
        <f>IF(N136&gt;0, N136, "")</f>
        <v/>
      </c>
      <c r="F11" s="101" t="str">
        <f>IF(SUM(B11:E11)&gt;0, SUM(B11:E11), "")</f>
        <v/>
      </c>
      <c r="H11" s="577" t="s">
        <v>365</v>
      </c>
      <c r="I11" s="578"/>
      <c r="K11" s="103"/>
      <c r="L11" s="579"/>
      <c r="M11" s="580"/>
      <c r="N11" s="580"/>
      <c r="O11" s="581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</row>
    <row r="12" spans="1:63" s="95" customFormat="1" ht="13.5" customHeight="1" x14ac:dyDescent="0.15">
      <c r="A12" s="100">
        <f>'1. Facility'!B13</f>
        <v>6</v>
      </c>
      <c r="B12" s="101" t="str">
        <f>IF(N55&gt;0, N55, "")</f>
        <v/>
      </c>
      <c r="C12" s="101" t="str">
        <f>IF(N96&gt;0, N96, "")</f>
        <v/>
      </c>
      <c r="D12" s="101" t="str">
        <f>IF(N117&gt;0, N117, "")</f>
        <v/>
      </c>
      <c r="E12" s="101" t="str">
        <f>IF(N138&gt;0, N138, "")</f>
        <v/>
      </c>
      <c r="F12" s="101" t="str">
        <f>IF(SUM(B12:E12)&gt;0, SUM(E12:U13), "")</f>
        <v/>
      </c>
      <c r="H12" s="104" t="s">
        <v>360</v>
      </c>
      <c r="I12" s="105" t="s">
        <v>359</v>
      </c>
      <c r="K12" s="103">
        <v>3</v>
      </c>
      <c r="L12" s="579" t="s">
        <v>464</v>
      </c>
      <c r="M12" s="580"/>
      <c r="N12" s="580"/>
      <c r="O12" s="581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</row>
    <row r="13" spans="1:63" s="95" customFormat="1" ht="13.5" customHeight="1" x14ac:dyDescent="0.15">
      <c r="A13" s="100">
        <f>'1. Facility'!B14</f>
        <v>7</v>
      </c>
      <c r="B13" s="101" t="str">
        <f>IF(N61&gt;0, N61, "")</f>
        <v/>
      </c>
      <c r="C13" s="101" t="str">
        <f>IF(N98&gt;0, N98, "")</f>
        <v/>
      </c>
      <c r="D13" s="101" t="str">
        <f>IF(N119&gt;0, N119, "")</f>
        <v/>
      </c>
      <c r="E13" s="101" t="str">
        <f>IF(N140&gt;0, N140, "")</f>
        <v/>
      </c>
      <c r="F13" s="101" t="str">
        <f>IF(SUM(B13:E13)&gt;0, SUM(B13:E13), "")</f>
        <v/>
      </c>
      <c r="H13" s="104" t="s">
        <v>361</v>
      </c>
      <c r="I13" s="106" t="s">
        <v>362</v>
      </c>
      <c r="K13" s="103"/>
      <c r="L13" s="579" t="s">
        <v>465</v>
      </c>
      <c r="M13" s="580"/>
      <c r="N13" s="580"/>
      <c r="O13" s="581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</row>
    <row r="14" spans="1:63" s="95" customFormat="1" ht="13.5" customHeight="1" x14ac:dyDescent="0.15">
      <c r="A14" s="100">
        <f>'1. Facility'!B15</f>
        <v>8</v>
      </c>
      <c r="B14" s="101" t="str">
        <f>IF(N67&gt;0, N67, "")</f>
        <v/>
      </c>
      <c r="C14" s="101" t="str">
        <f>IF(N100&gt;0, N100, "")</f>
        <v/>
      </c>
      <c r="D14" s="101" t="str">
        <f>IF(N121&gt;0, N121, "")</f>
        <v/>
      </c>
      <c r="E14" s="101" t="str">
        <f>IF(N142&gt;0, N142, "")</f>
        <v/>
      </c>
      <c r="F14" s="101" t="str">
        <f>IF(SUM(B14:E14)&gt;0, sm(B14:E14), "")</f>
        <v/>
      </c>
      <c r="H14" s="104" t="s">
        <v>363</v>
      </c>
      <c r="I14" s="107" t="s">
        <v>364</v>
      </c>
      <c r="K14" s="103"/>
      <c r="L14" s="579"/>
      <c r="M14" s="580"/>
      <c r="N14" s="580"/>
      <c r="O14" s="581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</row>
    <row r="15" spans="1:63" s="95" customFormat="1" ht="13.5" customHeight="1" x14ac:dyDescent="0.15">
      <c r="A15" s="100">
        <f>'1. Facility'!B16</f>
        <v>9</v>
      </c>
      <c r="B15" s="101" t="str">
        <f>IF(N73&gt;0, N73, "")</f>
        <v/>
      </c>
      <c r="C15" s="101" t="str">
        <f>IF(N102&gt;0, N102, "")</f>
        <v/>
      </c>
      <c r="D15" s="101" t="str">
        <f>IF(N123&gt;0, N123, "")</f>
        <v/>
      </c>
      <c r="E15" s="101" t="str">
        <f>IF(N144&gt;0, N144, "")</f>
        <v/>
      </c>
      <c r="F15" s="101" t="str">
        <f>IF(SUM(B15:E15)&gt;0, SUM( B15:E15), "")</f>
        <v/>
      </c>
      <c r="H15" s="104" t="s">
        <v>366</v>
      </c>
      <c r="I15" s="104" t="s">
        <v>367</v>
      </c>
      <c r="K15" s="103"/>
      <c r="L15" s="579"/>
      <c r="M15" s="580"/>
      <c r="N15" s="580"/>
      <c r="O15" s="581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</row>
    <row r="16" spans="1:63" s="95" customFormat="1" ht="13.5" customHeight="1" x14ac:dyDescent="0.15">
      <c r="A16" s="100">
        <f>'1. Facility'!B17</f>
        <v>10</v>
      </c>
      <c r="B16" s="101" t="str">
        <f>IF(N79&gt;0, N79, "")</f>
        <v/>
      </c>
      <c r="C16" s="101" t="str">
        <f>IF(N104&gt;0, N104, "")</f>
        <v/>
      </c>
      <c r="D16" s="101" t="str">
        <f>IF(N125&gt;0, N125, "")</f>
        <v/>
      </c>
      <c r="E16" s="101" t="str">
        <f>IF(N146&gt;0, N146, "")</f>
        <v/>
      </c>
      <c r="F16" s="101" t="str">
        <f>IF(SUM(B16:E16)&gt;0, SUM(B16:E16), "")</f>
        <v/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</row>
    <row r="17" spans="1:63" s="95" customFormat="1" ht="55.5" customHeight="1" x14ac:dyDescent="0.2">
      <c r="C17" s="608" t="s">
        <v>671</v>
      </c>
      <c r="D17" s="608"/>
      <c r="E17" s="608"/>
      <c r="F17" s="571" t="s">
        <v>672</v>
      </c>
      <c r="G17" s="571"/>
      <c r="I17" s="575" t="s">
        <v>673</v>
      </c>
      <c r="J17" s="575"/>
      <c r="K17" s="575"/>
      <c r="M17" s="575" t="s">
        <v>674</v>
      </c>
      <c r="N17" s="575"/>
      <c r="O17" s="575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</row>
    <row r="18" spans="1:63" s="95" customFormat="1" ht="13.5" customHeight="1" x14ac:dyDescent="0.15"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</row>
    <row r="19" spans="1:63" s="95" customFormat="1" ht="13.5" customHeight="1" x14ac:dyDescent="0.15">
      <c r="A19" s="593" t="s">
        <v>454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5"/>
      <c r="Q19" s="5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</row>
    <row r="20" spans="1:63" s="112" customFormat="1" ht="13.5" customHeight="1" x14ac:dyDescent="0.15">
      <c r="A20" s="108" t="s">
        <v>7</v>
      </c>
      <c r="B20" s="109" t="s">
        <v>8</v>
      </c>
      <c r="C20" s="109" t="s">
        <v>9</v>
      </c>
      <c r="D20" s="109" t="s">
        <v>13</v>
      </c>
      <c r="E20" s="109" t="s">
        <v>38</v>
      </c>
      <c r="F20" s="109" t="s">
        <v>10</v>
      </c>
      <c r="G20" s="109" t="s">
        <v>14</v>
      </c>
      <c r="H20" s="109" t="s">
        <v>11</v>
      </c>
      <c r="I20" s="109" t="s">
        <v>56</v>
      </c>
      <c r="J20" s="109" t="s">
        <v>12</v>
      </c>
      <c r="K20" s="109" t="s">
        <v>15</v>
      </c>
      <c r="L20" s="109" t="s">
        <v>39</v>
      </c>
      <c r="M20" s="109" t="s">
        <v>40</v>
      </c>
      <c r="N20" s="109" t="s">
        <v>41</v>
      </c>
      <c r="O20" s="109" t="s">
        <v>57</v>
      </c>
      <c r="P20" s="109" t="s">
        <v>42</v>
      </c>
      <c r="Q20" s="110" t="s">
        <v>43</v>
      </c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</row>
    <row r="21" spans="1:63" s="95" customFormat="1" ht="13.5" customHeight="1" x14ac:dyDescent="0.15">
      <c r="A21" s="113"/>
      <c r="B21" s="113"/>
      <c r="C21" s="113"/>
      <c r="D21" s="113"/>
      <c r="E21" s="114" t="s">
        <v>33</v>
      </c>
      <c r="F21" s="113"/>
      <c r="G21" s="113"/>
      <c r="H21" s="113"/>
      <c r="I21" s="113"/>
      <c r="J21" s="113"/>
      <c r="K21" s="113"/>
      <c r="L21" s="113"/>
      <c r="M21" s="113"/>
      <c r="N21" s="98"/>
      <c r="O21" s="614" t="s">
        <v>34</v>
      </c>
      <c r="P21" s="615"/>
      <c r="Q21" s="115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</row>
    <row r="22" spans="1:63" s="122" customFormat="1" ht="53.25" customHeight="1" x14ac:dyDescent="0.15">
      <c r="A22" s="603" t="s">
        <v>21</v>
      </c>
      <c r="B22" s="603" t="s">
        <v>129</v>
      </c>
      <c r="C22" s="609" t="s">
        <v>80</v>
      </c>
      <c r="D22" s="609" t="s">
        <v>411</v>
      </c>
      <c r="E22" s="603" t="s">
        <v>410</v>
      </c>
      <c r="F22" s="116" t="s">
        <v>459</v>
      </c>
      <c r="G22" s="117" t="s">
        <v>408</v>
      </c>
      <c r="H22" s="117" t="s">
        <v>458</v>
      </c>
      <c r="I22" s="117" t="s">
        <v>457</v>
      </c>
      <c r="J22" s="117" t="s">
        <v>460</v>
      </c>
      <c r="K22" s="117" t="s">
        <v>409</v>
      </c>
      <c r="L22" s="117" t="s">
        <v>135</v>
      </c>
      <c r="M22" s="117" t="s">
        <v>127</v>
      </c>
      <c r="N22" s="118" t="s">
        <v>455</v>
      </c>
      <c r="O22" s="601" t="s">
        <v>90</v>
      </c>
      <c r="P22" s="597" t="s">
        <v>76</v>
      </c>
      <c r="Q22" s="599" t="s">
        <v>82</v>
      </c>
      <c r="R22" s="119"/>
      <c r="S22" s="120"/>
      <c r="T22" s="121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</row>
    <row r="23" spans="1:63" s="122" customFormat="1" ht="54.75" customHeight="1" x14ac:dyDescent="0.15">
      <c r="A23" s="604"/>
      <c r="B23" s="604"/>
      <c r="C23" s="610"/>
      <c r="D23" s="610"/>
      <c r="E23" s="611"/>
      <c r="F23" s="123" t="s">
        <v>619</v>
      </c>
      <c r="G23" s="124" t="s">
        <v>624</v>
      </c>
      <c r="H23" s="125" t="s">
        <v>618</v>
      </c>
      <c r="I23" s="124" t="s">
        <v>450</v>
      </c>
      <c r="J23" s="125" t="s">
        <v>620</v>
      </c>
      <c r="K23" s="124" t="s">
        <v>451</v>
      </c>
      <c r="L23" s="124" t="s">
        <v>452</v>
      </c>
      <c r="M23" s="124" t="s">
        <v>453</v>
      </c>
      <c r="N23" s="126" t="s">
        <v>456</v>
      </c>
      <c r="O23" s="602"/>
      <c r="P23" s="598"/>
      <c r="Q23" s="600"/>
      <c r="R23" s="119"/>
      <c r="S23" s="120"/>
      <c r="T23" s="121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</row>
    <row r="24" spans="1:63" s="122" customFormat="1" ht="13.5" customHeight="1" x14ac:dyDescent="0.15">
      <c r="A24" s="617" t="s">
        <v>130</v>
      </c>
      <c r="B24" s="618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9"/>
      <c r="Q24" s="619"/>
      <c r="R24" s="119"/>
      <c r="S24" s="120"/>
      <c r="T24" s="121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</row>
    <row r="25" spans="1:63" ht="15" thickBot="1" x14ac:dyDescent="0.2">
      <c r="A25" s="606">
        <f>'1. Facility'!B8</f>
        <v>1</v>
      </c>
      <c r="B25" s="168" t="s">
        <v>446</v>
      </c>
      <c r="C25" s="127" t="s">
        <v>1</v>
      </c>
      <c r="D25" s="128" t="s">
        <v>0</v>
      </c>
      <c r="E25" s="175">
        <v>600</v>
      </c>
      <c r="F25" s="129">
        <f>'3b. Mobile Source Factors'!$K$7</f>
        <v>19.3599</v>
      </c>
      <c r="G25" s="130">
        <f>IF(E25&gt;0, E25*F25/2000, "")</f>
        <v>5.8079700000000001</v>
      </c>
      <c r="H25" s="131">
        <f>'3b. Mobile Source Factors'!$K$30</f>
        <v>7.341269841269841E-5</v>
      </c>
      <c r="I25" s="132">
        <f>IF(E25&gt;0, E25*H25*$I$8/2000, "")</f>
        <v>4.6249999999999997E-4</v>
      </c>
      <c r="J25" s="133">
        <f>'3b. Mobile Source Factors'!$K$43</f>
        <v>7.9365079365079362E-6</v>
      </c>
      <c r="K25" s="134">
        <f>IF(E25&gt;0, E25*J25*$I$9/2000, "")</f>
        <v>7.38095238095238E-4</v>
      </c>
      <c r="L25" s="130">
        <f>IF(E25&gt;0, G25+I25+K25, "")</f>
        <v>5.8091705952380952</v>
      </c>
      <c r="M25" s="130">
        <f>IF(E25&gt;0, (G25/(G25+I25+K25))*100, "")</f>
        <v>99.979332759842194</v>
      </c>
      <c r="N25" s="612">
        <f>SUM(L25:L30)</f>
        <v>1513.902040286376</v>
      </c>
      <c r="O25" s="176"/>
      <c r="P25" s="177"/>
      <c r="Q25" s="178"/>
      <c r="S25" s="136"/>
      <c r="T25" s="137"/>
    </row>
    <row r="26" spans="1:63" ht="16" thickTop="1" thickBot="1" x14ac:dyDescent="0.2">
      <c r="A26" s="605"/>
      <c r="B26" s="169" t="s">
        <v>447</v>
      </c>
      <c r="C26" s="138" t="s">
        <v>1</v>
      </c>
      <c r="D26" s="139" t="s">
        <v>0</v>
      </c>
      <c r="E26" s="173"/>
      <c r="F26" s="140">
        <f>'3b. Mobile Source Factors'!$K$7</f>
        <v>19.3599</v>
      </c>
      <c r="G26" s="141" t="str">
        <f>IF(E26&gt;0, E26*F26/2000, "")</f>
        <v/>
      </c>
      <c r="H26" s="142">
        <f>'3b. Mobile Source Factors'!$K$31</f>
        <v>1.1022927689594356E-3</v>
      </c>
      <c r="I26" s="143" t="str">
        <f t="shared" ref="I26:I89" si="0">IF(E26&gt;0, E26*H26*$I$8/2000, "")</f>
        <v/>
      </c>
      <c r="J26" s="144">
        <f>'3b. Mobile Source Factors'!$K$44</f>
        <v>4.8500881834215163E-4</v>
      </c>
      <c r="K26" s="145" t="str">
        <f t="shared" ref="K26:K89" si="1">IF(E26&gt;0, E26*J26*$I$9/2000, "")</f>
        <v/>
      </c>
      <c r="L26" s="141" t="str">
        <f t="shared" ref="L26:L84" si="2">IF(E26&gt;0, G26+I26+K26, "")</f>
        <v/>
      </c>
      <c r="M26" s="141" t="str">
        <f t="shared" ref="M26:M89" si="3">IF(E26&gt;0, (G26/(G26+I26+K26))*100, "")</f>
        <v/>
      </c>
      <c r="N26" s="613"/>
      <c r="O26" s="176"/>
      <c r="P26" s="177"/>
      <c r="Q26" s="178"/>
      <c r="S26" s="136"/>
      <c r="T26" s="137"/>
    </row>
    <row r="27" spans="1:63" ht="16" thickTop="1" thickBot="1" x14ac:dyDescent="0.2">
      <c r="A27" s="605"/>
      <c r="B27" s="508" t="s">
        <v>446</v>
      </c>
      <c r="C27" s="146" t="s">
        <v>2</v>
      </c>
      <c r="D27" s="147" t="s">
        <v>0</v>
      </c>
      <c r="E27" s="173"/>
      <c r="F27" s="140">
        <f>'3b. Mobile Source Factors'!$K$8</f>
        <v>22.513050000000003</v>
      </c>
      <c r="G27" s="141" t="str">
        <f>IF(E27&gt;0, E27*F27/2000, "")</f>
        <v/>
      </c>
      <c r="H27" s="142">
        <f>'3b. Mobile Source Factors'!$K$32</f>
        <v>1.2786596119929452E-3</v>
      </c>
      <c r="I27" s="148" t="str">
        <f t="shared" si="0"/>
        <v/>
      </c>
      <c r="J27" s="144">
        <f>'3b. Mobile Source Factors'!$K$45</f>
        <v>5.7319223985890654E-4</v>
      </c>
      <c r="K27" s="145" t="str">
        <f t="shared" si="1"/>
        <v/>
      </c>
      <c r="L27" s="141" t="str">
        <f t="shared" si="2"/>
        <v/>
      </c>
      <c r="M27" s="141" t="str">
        <f t="shared" si="3"/>
        <v/>
      </c>
      <c r="N27" s="613"/>
      <c r="O27" s="176"/>
      <c r="P27" s="177"/>
      <c r="Q27" s="178"/>
      <c r="S27" s="136"/>
      <c r="T27" s="137"/>
    </row>
    <row r="28" spans="1:63" ht="16" thickTop="1" thickBot="1" x14ac:dyDescent="0.2">
      <c r="A28" s="605"/>
      <c r="B28" s="508" t="s">
        <v>447</v>
      </c>
      <c r="C28" s="146" t="s">
        <v>2</v>
      </c>
      <c r="D28" s="147" t="s">
        <v>0</v>
      </c>
      <c r="E28" s="173">
        <v>131565</v>
      </c>
      <c r="F28" s="140">
        <f>'3b. Mobile Source Factors'!$K$8</f>
        <v>22.513050000000003</v>
      </c>
      <c r="G28" s="141">
        <f t="shared" ref="G28:G90" si="4">IF(E28&gt;0, E28*F28/2000, "")</f>
        <v>1480.9647116250003</v>
      </c>
      <c r="H28" s="142">
        <f>'3b. Mobile Source Factors'!$K$32</f>
        <v>1.2786596119929452E-3</v>
      </c>
      <c r="I28" s="148">
        <f t="shared" si="0"/>
        <v>1.7663819444444442</v>
      </c>
      <c r="J28" s="144">
        <f>'3b. Mobile Source Factors'!$K$45</f>
        <v>5.7319223985890654E-4</v>
      </c>
      <c r="K28" s="145">
        <f t="shared" si="1"/>
        <v>11.688865740740741</v>
      </c>
      <c r="L28" s="141">
        <f t="shared" si="2"/>
        <v>1494.4199593101855</v>
      </c>
      <c r="M28" s="141">
        <f t="shared" si="3"/>
        <v>99.099634102090278</v>
      </c>
      <c r="N28" s="613"/>
      <c r="O28" s="176"/>
      <c r="P28" s="177"/>
      <c r="Q28" s="178"/>
      <c r="S28" s="136"/>
      <c r="T28" s="137"/>
    </row>
    <row r="29" spans="1:63" ht="16" thickTop="1" thickBot="1" x14ac:dyDescent="0.2">
      <c r="A29" s="605"/>
      <c r="B29" s="169" t="s">
        <v>448</v>
      </c>
      <c r="C29" s="146" t="s">
        <v>51</v>
      </c>
      <c r="D29" s="147" t="s">
        <v>0</v>
      </c>
      <c r="E29" s="173">
        <v>2160</v>
      </c>
      <c r="F29" s="140">
        <f>'3b. Mobile Source Factors'!$K$18</f>
        <v>12.6126</v>
      </c>
      <c r="G29" s="141">
        <f t="shared" si="4"/>
        <v>13.621608</v>
      </c>
      <c r="H29" s="144">
        <f>'3b. Mobile Source Factors'!$K$33</f>
        <v>8.1569664902998224E-5</v>
      </c>
      <c r="I29" s="148">
        <f t="shared" si="0"/>
        <v>1.8499999999999999E-3</v>
      </c>
      <c r="J29" s="144">
        <f>'3b. Mobile Source Factors'!$K$46</f>
        <v>1.4770723104056438E-4</v>
      </c>
      <c r="K29" s="145">
        <f t="shared" si="1"/>
        <v>4.9452380952380956E-2</v>
      </c>
      <c r="L29" s="141">
        <f t="shared" si="2"/>
        <v>13.672910380952381</v>
      </c>
      <c r="M29" s="141">
        <f t="shared" si="3"/>
        <v>99.624788142955651</v>
      </c>
      <c r="N29" s="613"/>
      <c r="O29" s="176"/>
      <c r="P29" s="177"/>
      <c r="Q29" s="179"/>
      <c r="S29" s="136"/>
      <c r="T29" s="137"/>
    </row>
    <row r="30" spans="1:63" s="156" customFormat="1" ht="15" thickTop="1" thickBot="1" x14ac:dyDescent="0.2">
      <c r="A30" s="605"/>
      <c r="B30" s="171"/>
      <c r="C30" s="149" t="s">
        <v>51</v>
      </c>
      <c r="D30" s="150" t="s">
        <v>0</v>
      </c>
      <c r="E30" s="174"/>
      <c r="F30" s="151">
        <f>'3b. Mobile Source Factors'!$K$18</f>
        <v>12.6126</v>
      </c>
      <c r="G30" s="152" t="str">
        <f t="shared" si="4"/>
        <v/>
      </c>
      <c r="H30" s="153">
        <f>'3b. Mobile Source Factors'!$K$33</f>
        <v>8.1569664902998224E-5</v>
      </c>
      <c r="I30" s="154" t="str">
        <f t="shared" si="0"/>
        <v/>
      </c>
      <c r="J30" s="153">
        <f>'3b. Mobile Source Factors'!$K$46</f>
        <v>1.4770723104056438E-4</v>
      </c>
      <c r="K30" s="155" t="str">
        <f t="shared" si="1"/>
        <v/>
      </c>
      <c r="L30" s="152" t="str">
        <f t="shared" si="2"/>
        <v/>
      </c>
      <c r="M30" s="152" t="str">
        <f t="shared" si="3"/>
        <v/>
      </c>
      <c r="N30" s="592"/>
      <c r="O30" s="180"/>
      <c r="P30" s="181"/>
      <c r="Q30" s="182"/>
      <c r="R30" s="94"/>
      <c r="S30" s="136"/>
      <c r="T30" s="137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</row>
    <row r="31" spans="1:63" ht="15" thickTop="1" thickBot="1" x14ac:dyDescent="0.2">
      <c r="A31" s="605">
        <f>'1. Facility'!B9</f>
        <v>2</v>
      </c>
      <c r="B31" s="168"/>
      <c r="C31" s="127" t="s">
        <v>1</v>
      </c>
      <c r="D31" s="128" t="s">
        <v>0</v>
      </c>
      <c r="E31" s="175"/>
      <c r="F31" s="157">
        <f>'3b. Mobile Source Factors'!$K$7</f>
        <v>19.3599</v>
      </c>
      <c r="G31" s="141" t="str">
        <f t="shared" si="4"/>
        <v/>
      </c>
      <c r="H31" s="142">
        <f>'3b. Mobile Source Factors'!$K$30</f>
        <v>7.341269841269841E-5</v>
      </c>
      <c r="I31" s="148" t="str">
        <f t="shared" si="0"/>
        <v/>
      </c>
      <c r="J31" s="144">
        <f>'3b. Mobile Source Factors'!$K$43</f>
        <v>7.9365079365079362E-6</v>
      </c>
      <c r="K31" s="145" t="str">
        <f t="shared" si="1"/>
        <v/>
      </c>
      <c r="L31" s="141" t="str">
        <f t="shared" si="2"/>
        <v/>
      </c>
      <c r="M31" s="141" t="str">
        <f t="shared" si="3"/>
        <v/>
      </c>
      <c r="N31" s="612">
        <f>SUM(L31:L36)</f>
        <v>0</v>
      </c>
      <c r="O31" s="183"/>
      <c r="P31" s="184"/>
      <c r="Q31" s="185"/>
      <c r="S31" s="136"/>
      <c r="T31" s="137"/>
    </row>
    <row r="32" spans="1:63" ht="15" thickTop="1" thickBot="1" x14ac:dyDescent="0.2">
      <c r="A32" s="605"/>
      <c r="B32" s="169"/>
      <c r="C32" s="138" t="s">
        <v>1</v>
      </c>
      <c r="D32" s="139" t="s">
        <v>0</v>
      </c>
      <c r="E32" s="175"/>
      <c r="F32" s="140">
        <f>'3b. Mobile Source Factors'!$K$7</f>
        <v>19.3599</v>
      </c>
      <c r="G32" s="141" t="str">
        <f t="shared" si="4"/>
        <v/>
      </c>
      <c r="H32" s="142">
        <f>'3b. Mobile Source Factors'!$K$31</f>
        <v>1.1022927689594356E-3</v>
      </c>
      <c r="I32" s="148" t="str">
        <f t="shared" si="0"/>
        <v/>
      </c>
      <c r="J32" s="144">
        <f>'3b. Mobile Source Factors'!$K$44</f>
        <v>4.8500881834215163E-4</v>
      </c>
      <c r="K32" s="145" t="str">
        <f t="shared" si="1"/>
        <v/>
      </c>
      <c r="L32" s="141" t="str">
        <f t="shared" si="2"/>
        <v/>
      </c>
      <c r="M32" s="141" t="str">
        <f t="shared" si="3"/>
        <v/>
      </c>
      <c r="N32" s="613"/>
      <c r="O32" s="183"/>
      <c r="P32" s="177"/>
      <c r="Q32" s="178"/>
      <c r="S32" s="136"/>
      <c r="T32" s="137"/>
    </row>
    <row r="33" spans="1:63" ht="15" thickTop="1" thickBot="1" x14ac:dyDescent="0.2">
      <c r="A33" s="605"/>
      <c r="B33" s="170"/>
      <c r="C33" s="146"/>
      <c r="D33" s="147" t="s">
        <v>0</v>
      </c>
      <c r="E33" s="173"/>
      <c r="F33" s="140">
        <f>'3b. Mobile Source Factors'!$K$8</f>
        <v>22.513050000000003</v>
      </c>
      <c r="G33" s="141" t="str">
        <f t="shared" si="4"/>
        <v/>
      </c>
      <c r="H33" s="142">
        <f>'3b. Mobile Source Factors'!$K$32</f>
        <v>1.2786596119929452E-3</v>
      </c>
      <c r="I33" s="148" t="str">
        <f t="shared" si="0"/>
        <v/>
      </c>
      <c r="J33" s="144">
        <f>'3b. Mobile Source Factors'!$K$45</f>
        <v>5.7319223985890654E-4</v>
      </c>
      <c r="K33" s="145" t="str">
        <f t="shared" si="1"/>
        <v/>
      </c>
      <c r="L33" s="141" t="str">
        <f t="shared" si="2"/>
        <v/>
      </c>
      <c r="M33" s="141" t="str">
        <f t="shared" si="3"/>
        <v/>
      </c>
      <c r="N33" s="613"/>
      <c r="O33" s="176"/>
      <c r="P33" s="177"/>
      <c r="Q33" s="178"/>
      <c r="S33" s="136"/>
      <c r="T33" s="137"/>
    </row>
    <row r="34" spans="1:63" ht="15" thickTop="1" thickBot="1" x14ac:dyDescent="0.2">
      <c r="A34" s="605"/>
      <c r="B34" s="170"/>
      <c r="C34" s="146" t="s">
        <v>2</v>
      </c>
      <c r="D34" s="147" t="s">
        <v>0</v>
      </c>
      <c r="E34" s="173"/>
      <c r="F34" s="140">
        <f>'3b. Mobile Source Factors'!$K$8</f>
        <v>22.513050000000003</v>
      </c>
      <c r="G34" s="141" t="str">
        <f t="shared" si="4"/>
        <v/>
      </c>
      <c r="H34" s="142">
        <f>'3b. Mobile Source Factors'!$K$32</f>
        <v>1.2786596119929452E-3</v>
      </c>
      <c r="I34" s="148" t="str">
        <f t="shared" si="0"/>
        <v/>
      </c>
      <c r="J34" s="144">
        <f>'3b. Mobile Source Factors'!$K$45</f>
        <v>5.7319223985890654E-4</v>
      </c>
      <c r="K34" s="145" t="str">
        <f t="shared" si="1"/>
        <v/>
      </c>
      <c r="L34" s="141" t="str">
        <f t="shared" si="2"/>
        <v/>
      </c>
      <c r="M34" s="141" t="str">
        <f t="shared" si="3"/>
        <v/>
      </c>
      <c r="N34" s="613"/>
      <c r="O34" s="176"/>
      <c r="P34" s="177"/>
      <c r="Q34" s="178"/>
      <c r="S34" s="136"/>
      <c r="T34" s="137"/>
    </row>
    <row r="35" spans="1:63" ht="15" thickTop="1" thickBot="1" x14ac:dyDescent="0.2">
      <c r="A35" s="605"/>
      <c r="B35" s="169"/>
      <c r="C35" s="146" t="s">
        <v>51</v>
      </c>
      <c r="D35" s="147" t="s">
        <v>0</v>
      </c>
      <c r="E35" s="173"/>
      <c r="F35" s="140">
        <f>'3b. Mobile Source Factors'!$K$18</f>
        <v>12.6126</v>
      </c>
      <c r="G35" s="141" t="str">
        <f t="shared" si="4"/>
        <v/>
      </c>
      <c r="H35" s="144">
        <f>'3b. Mobile Source Factors'!$K$33</f>
        <v>8.1569664902998224E-5</v>
      </c>
      <c r="I35" s="148" t="str">
        <f t="shared" si="0"/>
        <v/>
      </c>
      <c r="J35" s="144">
        <f>'3b. Mobile Source Factors'!$K$46</f>
        <v>1.4770723104056438E-4</v>
      </c>
      <c r="K35" s="145" t="str">
        <f t="shared" si="1"/>
        <v/>
      </c>
      <c r="L35" s="141" t="str">
        <f t="shared" si="2"/>
        <v/>
      </c>
      <c r="M35" s="141" t="str">
        <f t="shared" si="3"/>
        <v/>
      </c>
      <c r="N35" s="613"/>
      <c r="O35" s="176"/>
      <c r="P35" s="177"/>
      <c r="Q35" s="179"/>
      <c r="S35" s="136"/>
      <c r="T35" s="137"/>
    </row>
    <row r="36" spans="1:63" s="156" customFormat="1" ht="15" thickTop="1" thickBot="1" x14ac:dyDescent="0.2">
      <c r="A36" s="605"/>
      <c r="B36" s="171"/>
      <c r="C36" s="149" t="s">
        <v>51</v>
      </c>
      <c r="D36" s="150" t="s">
        <v>0</v>
      </c>
      <c r="E36" s="174"/>
      <c r="F36" s="151">
        <f>'3b. Mobile Source Factors'!$K$18</f>
        <v>12.6126</v>
      </c>
      <c r="G36" s="152" t="str">
        <f t="shared" si="4"/>
        <v/>
      </c>
      <c r="H36" s="153">
        <f>'3b. Mobile Source Factors'!$K$33</f>
        <v>8.1569664902998224E-5</v>
      </c>
      <c r="I36" s="154" t="str">
        <f t="shared" si="0"/>
        <v/>
      </c>
      <c r="J36" s="153">
        <f>'3b. Mobile Source Factors'!$K$46</f>
        <v>1.4770723104056438E-4</v>
      </c>
      <c r="K36" s="155" t="str">
        <f t="shared" si="1"/>
        <v/>
      </c>
      <c r="L36" s="152" t="str">
        <f t="shared" si="2"/>
        <v/>
      </c>
      <c r="M36" s="152" t="str">
        <f t="shared" si="3"/>
        <v/>
      </c>
      <c r="N36" s="592"/>
      <c r="O36" s="180"/>
      <c r="P36" s="181"/>
      <c r="Q36" s="182"/>
      <c r="R36" s="94"/>
      <c r="S36" s="136"/>
      <c r="T36" s="137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</row>
    <row r="37" spans="1:63" ht="15" thickTop="1" thickBot="1" x14ac:dyDescent="0.2">
      <c r="A37" s="605">
        <f>'1. Facility'!B10</f>
        <v>3</v>
      </c>
      <c r="B37" s="168"/>
      <c r="C37" s="127" t="s">
        <v>1</v>
      </c>
      <c r="D37" s="128" t="s">
        <v>0</v>
      </c>
      <c r="E37" s="175"/>
      <c r="F37" s="157">
        <f>'3b. Mobile Source Factors'!$K$7</f>
        <v>19.3599</v>
      </c>
      <c r="G37" s="141" t="str">
        <f t="shared" si="4"/>
        <v/>
      </c>
      <c r="H37" s="142">
        <f>'3b. Mobile Source Factors'!$K$30</f>
        <v>7.341269841269841E-5</v>
      </c>
      <c r="I37" s="148" t="str">
        <f t="shared" si="0"/>
        <v/>
      </c>
      <c r="J37" s="144">
        <f>'3b. Mobile Source Factors'!$K$43</f>
        <v>7.9365079365079362E-6</v>
      </c>
      <c r="K37" s="145" t="str">
        <f t="shared" si="1"/>
        <v/>
      </c>
      <c r="L37" s="141" t="str">
        <f t="shared" si="2"/>
        <v/>
      </c>
      <c r="M37" s="141" t="str">
        <f t="shared" si="3"/>
        <v/>
      </c>
      <c r="N37" s="612">
        <f>SUM(L37:L42)</f>
        <v>0</v>
      </c>
      <c r="O37" s="183"/>
      <c r="P37" s="184"/>
      <c r="Q37" s="185"/>
      <c r="S37" s="136"/>
      <c r="T37" s="137"/>
    </row>
    <row r="38" spans="1:63" ht="15" thickTop="1" thickBot="1" x14ac:dyDescent="0.2">
      <c r="A38" s="605"/>
      <c r="B38" s="169"/>
      <c r="C38" s="138" t="s">
        <v>1</v>
      </c>
      <c r="D38" s="139" t="s">
        <v>0</v>
      </c>
      <c r="E38" s="175"/>
      <c r="F38" s="140">
        <f>'3b. Mobile Source Factors'!$K$7</f>
        <v>19.3599</v>
      </c>
      <c r="G38" s="141" t="str">
        <f t="shared" si="4"/>
        <v/>
      </c>
      <c r="H38" s="142">
        <f>'3b. Mobile Source Factors'!$K$31</f>
        <v>1.1022927689594356E-3</v>
      </c>
      <c r="I38" s="148" t="str">
        <f t="shared" si="0"/>
        <v/>
      </c>
      <c r="J38" s="144">
        <f>'3b. Mobile Source Factors'!$K$44</f>
        <v>4.8500881834215163E-4</v>
      </c>
      <c r="K38" s="145" t="str">
        <f t="shared" si="1"/>
        <v/>
      </c>
      <c r="L38" s="141" t="str">
        <f t="shared" si="2"/>
        <v/>
      </c>
      <c r="M38" s="141" t="str">
        <f t="shared" si="3"/>
        <v/>
      </c>
      <c r="N38" s="613"/>
      <c r="O38" s="183"/>
      <c r="P38" s="177"/>
      <c r="Q38" s="178"/>
      <c r="S38" s="136"/>
      <c r="T38" s="137"/>
    </row>
    <row r="39" spans="1:63" ht="15" thickTop="1" thickBot="1" x14ac:dyDescent="0.2">
      <c r="A39" s="605"/>
      <c r="B39" s="170"/>
      <c r="C39" s="146" t="s">
        <v>2</v>
      </c>
      <c r="D39" s="147" t="s">
        <v>0</v>
      </c>
      <c r="E39" s="173"/>
      <c r="F39" s="140">
        <f>'3b. Mobile Source Factors'!$K$8</f>
        <v>22.513050000000003</v>
      </c>
      <c r="G39" s="141" t="str">
        <f t="shared" si="4"/>
        <v/>
      </c>
      <c r="H39" s="142">
        <f>'3b. Mobile Source Factors'!$K$32</f>
        <v>1.2786596119929452E-3</v>
      </c>
      <c r="I39" s="148" t="str">
        <f t="shared" si="0"/>
        <v/>
      </c>
      <c r="J39" s="144">
        <f>'3b. Mobile Source Factors'!$K$45</f>
        <v>5.7319223985890654E-4</v>
      </c>
      <c r="K39" s="145" t="str">
        <f t="shared" si="1"/>
        <v/>
      </c>
      <c r="L39" s="141" t="str">
        <f t="shared" si="2"/>
        <v/>
      </c>
      <c r="M39" s="141" t="str">
        <f t="shared" si="3"/>
        <v/>
      </c>
      <c r="N39" s="613"/>
      <c r="O39" s="176"/>
      <c r="P39" s="177"/>
      <c r="Q39" s="178"/>
      <c r="S39" s="136"/>
      <c r="T39" s="137"/>
    </row>
    <row r="40" spans="1:63" ht="15" thickTop="1" thickBot="1" x14ac:dyDescent="0.2">
      <c r="A40" s="605"/>
      <c r="B40" s="170"/>
      <c r="C40" s="146" t="s">
        <v>2</v>
      </c>
      <c r="D40" s="147" t="s">
        <v>0</v>
      </c>
      <c r="E40" s="173"/>
      <c r="F40" s="140">
        <f>'3b. Mobile Source Factors'!$K$8</f>
        <v>22.513050000000003</v>
      </c>
      <c r="G40" s="141" t="str">
        <f t="shared" si="4"/>
        <v/>
      </c>
      <c r="H40" s="142">
        <f>'3b. Mobile Source Factors'!$K$32</f>
        <v>1.2786596119929452E-3</v>
      </c>
      <c r="I40" s="148" t="str">
        <f t="shared" si="0"/>
        <v/>
      </c>
      <c r="J40" s="144">
        <f>'3b. Mobile Source Factors'!$K$45</f>
        <v>5.7319223985890654E-4</v>
      </c>
      <c r="K40" s="145" t="str">
        <f t="shared" si="1"/>
        <v/>
      </c>
      <c r="L40" s="141" t="str">
        <f t="shared" si="2"/>
        <v/>
      </c>
      <c r="M40" s="141" t="str">
        <f t="shared" si="3"/>
        <v/>
      </c>
      <c r="N40" s="613"/>
      <c r="O40" s="176"/>
      <c r="P40" s="177"/>
      <c r="Q40" s="178"/>
      <c r="S40" s="136"/>
      <c r="T40" s="137"/>
    </row>
    <row r="41" spans="1:63" ht="15" thickTop="1" thickBot="1" x14ac:dyDescent="0.2">
      <c r="A41" s="605"/>
      <c r="B41" s="169"/>
      <c r="C41" s="146" t="s">
        <v>51</v>
      </c>
      <c r="D41" s="147" t="s">
        <v>0</v>
      </c>
      <c r="E41" s="173"/>
      <c r="F41" s="140">
        <f>'3b. Mobile Source Factors'!$K$18</f>
        <v>12.6126</v>
      </c>
      <c r="G41" s="141" t="str">
        <f t="shared" si="4"/>
        <v/>
      </c>
      <c r="H41" s="144">
        <f>'3b. Mobile Source Factors'!$K$33</f>
        <v>8.1569664902998224E-5</v>
      </c>
      <c r="I41" s="148" t="str">
        <f t="shared" si="0"/>
        <v/>
      </c>
      <c r="J41" s="144">
        <f>'3b. Mobile Source Factors'!$K$46</f>
        <v>1.4770723104056438E-4</v>
      </c>
      <c r="K41" s="145" t="str">
        <f t="shared" si="1"/>
        <v/>
      </c>
      <c r="L41" s="141" t="str">
        <f t="shared" si="2"/>
        <v/>
      </c>
      <c r="M41" s="141" t="str">
        <f t="shared" si="3"/>
        <v/>
      </c>
      <c r="N41" s="613"/>
      <c r="O41" s="176"/>
      <c r="P41" s="177"/>
      <c r="Q41" s="179"/>
      <c r="S41" s="136"/>
      <c r="T41" s="137"/>
    </row>
    <row r="42" spans="1:63" s="156" customFormat="1" ht="15" thickTop="1" thickBot="1" x14ac:dyDescent="0.2">
      <c r="A42" s="605"/>
      <c r="B42" s="171"/>
      <c r="C42" s="149" t="s">
        <v>51</v>
      </c>
      <c r="D42" s="150" t="s">
        <v>0</v>
      </c>
      <c r="E42" s="174"/>
      <c r="F42" s="151">
        <f>'3b. Mobile Source Factors'!$K$18</f>
        <v>12.6126</v>
      </c>
      <c r="G42" s="152" t="str">
        <f t="shared" si="4"/>
        <v/>
      </c>
      <c r="H42" s="153">
        <f>'3b. Mobile Source Factors'!$K$33</f>
        <v>8.1569664902998224E-5</v>
      </c>
      <c r="I42" s="154" t="str">
        <f t="shared" si="0"/>
        <v/>
      </c>
      <c r="J42" s="153">
        <f>'3b. Mobile Source Factors'!$K$46</f>
        <v>1.4770723104056438E-4</v>
      </c>
      <c r="K42" s="155" t="str">
        <f t="shared" si="1"/>
        <v/>
      </c>
      <c r="L42" s="152" t="str">
        <f t="shared" si="2"/>
        <v/>
      </c>
      <c r="M42" s="152" t="str">
        <f t="shared" si="3"/>
        <v/>
      </c>
      <c r="N42" s="592"/>
      <c r="O42" s="180"/>
      <c r="P42" s="181"/>
      <c r="Q42" s="182"/>
      <c r="R42" s="94"/>
      <c r="S42" s="136"/>
      <c r="T42" s="137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</row>
    <row r="43" spans="1:63" ht="15" thickTop="1" thickBot="1" x14ac:dyDescent="0.2">
      <c r="A43" s="605">
        <f>'1. Facility'!B11</f>
        <v>4</v>
      </c>
      <c r="B43" s="168"/>
      <c r="C43" s="127" t="s">
        <v>1</v>
      </c>
      <c r="D43" s="128" t="s">
        <v>0</v>
      </c>
      <c r="E43" s="175"/>
      <c r="F43" s="157">
        <f>'3b. Mobile Source Factors'!$K$7</f>
        <v>19.3599</v>
      </c>
      <c r="G43" s="141" t="str">
        <f t="shared" si="4"/>
        <v/>
      </c>
      <c r="H43" s="142">
        <f>'3b. Mobile Source Factors'!$K$30</f>
        <v>7.341269841269841E-5</v>
      </c>
      <c r="I43" s="148" t="str">
        <f t="shared" si="0"/>
        <v/>
      </c>
      <c r="J43" s="144">
        <f>'3b. Mobile Source Factors'!$K$43</f>
        <v>7.9365079365079362E-6</v>
      </c>
      <c r="K43" s="145" t="str">
        <f t="shared" si="1"/>
        <v/>
      </c>
      <c r="L43" s="141" t="str">
        <f t="shared" si="2"/>
        <v/>
      </c>
      <c r="M43" s="141" t="str">
        <f t="shared" si="3"/>
        <v/>
      </c>
      <c r="N43" s="612">
        <f>SUM(L43:L48)</f>
        <v>0</v>
      </c>
      <c r="O43" s="183"/>
      <c r="P43" s="184"/>
      <c r="Q43" s="185"/>
      <c r="S43" s="136"/>
      <c r="T43" s="137"/>
    </row>
    <row r="44" spans="1:63" ht="15" thickTop="1" thickBot="1" x14ac:dyDescent="0.2">
      <c r="A44" s="605"/>
      <c r="B44" s="169"/>
      <c r="C44" s="138" t="s">
        <v>1</v>
      </c>
      <c r="D44" s="139" t="s">
        <v>0</v>
      </c>
      <c r="E44" s="175"/>
      <c r="F44" s="140">
        <f>'3b. Mobile Source Factors'!$K$7</f>
        <v>19.3599</v>
      </c>
      <c r="G44" s="141" t="str">
        <f t="shared" si="4"/>
        <v/>
      </c>
      <c r="H44" s="142">
        <f>'3b. Mobile Source Factors'!$K$31</f>
        <v>1.1022927689594356E-3</v>
      </c>
      <c r="I44" s="148" t="str">
        <f t="shared" si="0"/>
        <v/>
      </c>
      <c r="J44" s="144">
        <f>'3b. Mobile Source Factors'!$K$44</f>
        <v>4.8500881834215163E-4</v>
      </c>
      <c r="K44" s="145" t="str">
        <f t="shared" si="1"/>
        <v/>
      </c>
      <c r="L44" s="141" t="str">
        <f t="shared" si="2"/>
        <v/>
      </c>
      <c r="M44" s="141" t="str">
        <f t="shared" si="3"/>
        <v/>
      </c>
      <c r="N44" s="613"/>
      <c r="O44" s="183"/>
      <c r="P44" s="177"/>
      <c r="Q44" s="178"/>
      <c r="S44" s="136"/>
      <c r="T44" s="137"/>
    </row>
    <row r="45" spans="1:63" ht="15" thickTop="1" thickBot="1" x14ac:dyDescent="0.2">
      <c r="A45" s="605"/>
      <c r="B45" s="170"/>
      <c r="C45" s="146" t="s">
        <v>2</v>
      </c>
      <c r="D45" s="147" t="s">
        <v>0</v>
      </c>
      <c r="E45" s="173"/>
      <c r="F45" s="140">
        <f>'3b. Mobile Source Factors'!$K$8</f>
        <v>22.513050000000003</v>
      </c>
      <c r="G45" s="141" t="str">
        <f t="shared" si="4"/>
        <v/>
      </c>
      <c r="H45" s="142">
        <f>'3b. Mobile Source Factors'!$K$32</f>
        <v>1.2786596119929452E-3</v>
      </c>
      <c r="I45" s="148" t="str">
        <f t="shared" si="0"/>
        <v/>
      </c>
      <c r="J45" s="144">
        <f>'3b. Mobile Source Factors'!$K$45</f>
        <v>5.7319223985890654E-4</v>
      </c>
      <c r="K45" s="145" t="str">
        <f t="shared" si="1"/>
        <v/>
      </c>
      <c r="L45" s="141" t="str">
        <f t="shared" si="2"/>
        <v/>
      </c>
      <c r="M45" s="141" t="str">
        <f t="shared" si="3"/>
        <v/>
      </c>
      <c r="N45" s="613"/>
      <c r="O45" s="176"/>
      <c r="P45" s="177"/>
      <c r="Q45" s="178"/>
      <c r="S45" s="136"/>
      <c r="T45" s="137"/>
    </row>
    <row r="46" spans="1:63" ht="15" thickTop="1" thickBot="1" x14ac:dyDescent="0.2">
      <c r="A46" s="605"/>
      <c r="B46" s="170"/>
      <c r="C46" s="146" t="s">
        <v>2</v>
      </c>
      <c r="D46" s="147" t="s">
        <v>0</v>
      </c>
      <c r="E46" s="173"/>
      <c r="F46" s="140">
        <f>'3b. Mobile Source Factors'!$K$8</f>
        <v>22.513050000000003</v>
      </c>
      <c r="G46" s="141" t="str">
        <f t="shared" si="4"/>
        <v/>
      </c>
      <c r="H46" s="142">
        <f>'3b. Mobile Source Factors'!$K$32</f>
        <v>1.2786596119929452E-3</v>
      </c>
      <c r="I46" s="148" t="str">
        <f t="shared" si="0"/>
        <v/>
      </c>
      <c r="J46" s="144">
        <f>'3b. Mobile Source Factors'!$K$45</f>
        <v>5.7319223985890654E-4</v>
      </c>
      <c r="K46" s="145" t="str">
        <f t="shared" si="1"/>
        <v/>
      </c>
      <c r="L46" s="141" t="str">
        <f t="shared" si="2"/>
        <v/>
      </c>
      <c r="M46" s="141" t="str">
        <f t="shared" si="3"/>
        <v/>
      </c>
      <c r="N46" s="613"/>
      <c r="O46" s="176"/>
      <c r="P46" s="177"/>
      <c r="Q46" s="179"/>
      <c r="S46" s="136"/>
      <c r="T46" s="137"/>
    </row>
    <row r="47" spans="1:63" ht="15" thickTop="1" thickBot="1" x14ac:dyDescent="0.2">
      <c r="A47" s="605"/>
      <c r="B47" s="169"/>
      <c r="C47" s="146" t="s">
        <v>51</v>
      </c>
      <c r="D47" s="147" t="s">
        <v>0</v>
      </c>
      <c r="E47" s="173"/>
      <c r="F47" s="140">
        <f>'3b. Mobile Source Factors'!$K$18</f>
        <v>12.6126</v>
      </c>
      <c r="G47" s="141" t="str">
        <f t="shared" si="4"/>
        <v/>
      </c>
      <c r="H47" s="144">
        <f>'3b. Mobile Source Factors'!$K$33</f>
        <v>8.1569664902998224E-5</v>
      </c>
      <c r="I47" s="148" t="str">
        <f t="shared" si="0"/>
        <v/>
      </c>
      <c r="J47" s="144">
        <f>'3b. Mobile Source Factors'!$K$46</f>
        <v>1.4770723104056438E-4</v>
      </c>
      <c r="K47" s="145" t="str">
        <f t="shared" si="1"/>
        <v/>
      </c>
      <c r="L47" s="141" t="str">
        <f t="shared" si="2"/>
        <v/>
      </c>
      <c r="M47" s="141" t="str">
        <f t="shared" si="3"/>
        <v/>
      </c>
      <c r="N47" s="613"/>
      <c r="O47" s="176"/>
      <c r="P47" s="177"/>
      <c r="Q47" s="179"/>
      <c r="S47" s="136"/>
      <c r="T47" s="137"/>
    </row>
    <row r="48" spans="1:63" s="156" customFormat="1" ht="15" thickTop="1" thickBot="1" x14ac:dyDescent="0.2">
      <c r="A48" s="605"/>
      <c r="B48" s="171"/>
      <c r="C48" s="149" t="s">
        <v>51</v>
      </c>
      <c r="D48" s="150" t="s">
        <v>0</v>
      </c>
      <c r="E48" s="174"/>
      <c r="F48" s="151">
        <f>'3b. Mobile Source Factors'!$K$18</f>
        <v>12.6126</v>
      </c>
      <c r="G48" s="152" t="str">
        <f t="shared" si="4"/>
        <v/>
      </c>
      <c r="H48" s="153">
        <f>'3b. Mobile Source Factors'!$K$33</f>
        <v>8.1569664902998224E-5</v>
      </c>
      <c r="I48" s="154" t="str">
        <f t="shared" si="0"/>
        <v/>
      </c>
      <c r="J48" s="153">
        <f>'3b. Mobile Source Factors'!$K$46</f>
        <v>1.4770723104056438E-4</v>
      </c>
      <c r="K48" s="155" t="str">
        <f t="shared" si="1"/>
        <v/>
      </c>
      <c r="L48" s="152" t="str">
        <f t="shared" si="2"/>
        <v/>
      </c>
      <c r="M48" s="152" t="str">
        <f t="shared" si="3"/>
        <v/>
      </c>
      <c r="N48" s="592"/>
      <c r="O48" s="180"/>
      <c r="P48" s="181"/>
      <c r="Q48" s="182"/>
      <c r="R48" s="94"/>
      <c r="S48" s="136"/>
      <c r="T48" s="137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</row>
    <row r="49" spans="1:63" ht="15" thickTop="1" thickBot="1" x14ac:dyDescent="0.2">
      <c r="A49" s="605">
        <f>'1. Facility'!B12</f>
        <v>5</v>
      </c>
      <c r="B49" s="168"/>
      <c r="C49" s="127" t="s">
        <v>1</v>
      </c>
      <c r="D49" s="128" t="s">
        <v>0</v>
      </c>
      <c r="E49" s="175"/>
      <c r="F49" s="157">
        <f>'3b. Mobile Source Factors'!$K$7</f>
        <v>19.3599</v>
      </c>
      <c r="G49" s="141" t="str">
        <f t="shared" si="4"/>
        <v/>
      </c>
      <c r="H49" s="142">
        <f>'3b. Mobile Source Factors'!$K$30</f>
        <v>7.341269841269841E-5</v>
      </c>
      <c r="I49" s="148" t="str">
        <f t="shared" si="0"/>
        <v/>
      </c>
      <c r="J49" s="144">
        <f>'3b. Mobile Source Factors'!$K$43</f>
        <v>7.9365079365079362E-6</v>
      </c>
      <c r="K49" s="145" t="str">
        <f t="shared" si="1"/>
        <v/>
      </c>
      <c r="L49" s="141" t="str">
        <f t="shared" si="2"/>
        <v/>
      </c>
      <c r="M49" s="141" t="str">
        <f t="shared" si="3"/>
        <v/>
      </c>
      <c r="N49" s="612">
        <f>SUM(L49:L54)</f>
        <v>0</v>
      </c>
      <c r="O49" s="183"/>
      <c r="P49" s="184"/>
      <c r="Q49" s="185"/>
      <c r="S49" s="136"/>
      <c r="T49" s="137"/>
    </row>
    <row r="50" spans="1:63" ht="15" thickTop="1" thickBot="1" x14ac:dyDescent="0.2">
      <c r="A50" s="605"/>
      <c r="B50" s="169"/>
      <c r="C50" s="138" t="s">
        <v>1</v>
      </c>
      <c r="D50" s="139" t="s">
        <v>0</v>
      </c>
      <c r="E50" s="173"/>
      <c r="F50" s="140">
        <f>'3b. Mobile Source Factors'!$K$7</f>
        <v>19.3599</v>
      </c>
      <c r="G50" s="141" t="str">
        <f t="shared" si="4"/>
        <v/>
      </c>
      <c r="H50" s="142">
        <f>'3b. Mobile Source Factors'!$K$31</f>
        <v>1.1022927689594356E-3</v>
      </c>
      <c r="I50" s="148" t="str">
        <f t="shared" si="0"/>
        <v/>
      </c>
      <c r="J50" s="144">
        <f>'3b. Mobile Source Factors'!$K$44</f>
        <v>4.8500881834215163E-4</v>
      </c>
      <c r="K50" s="145" t="str">
        <f t="shared" si="1"/>
        <v/>
      </c>
      <c r="L50" s="141" t="str">
        <f t="shared" si="2"/>
        <v/>
      </c>
      <c r="M50" s="141" t="str">
        <f t="shared" si="3"/>
        <v/>
      </c>
      <c r="N50" s="613"/>
      <c r="O50" s="176"/>
      <c r="P50" s="177"/>
      <c r="Q50" s="178"/>
      <c r="S50" s="136"/>
      <c r="T50" s="137"/>
    </row>
    <row r="51" spans="1:63" ht="15" thickTop="1" thickBot="1" x14ac:dyDescent="0.2">
      <c r="A51" s="605"/>
      <c r="B51" s="170"/>
      <c r="C51" s="146" t="s">
        <v>2</v>
      </c>
      <c r="D51" s="147" t="s">
        <v>0</v>
      </c>
      <c r="E51" s="173"/>
      <c r="F51" s="140">
        <f>'3b. Mobile Source Factors'!$K$8</f>
        <v>22.513050000000003</v>
      </c>
      <c r="G51" s="141" t="str">
        <f t="shared" si="4"/>
        <v/>
      </c>
      <c r="H51" s="142">
        <f>'3b. Mobile Source Factors'!$K$32</f>
        <v>1.2786596119929452E-3</v>
      </c>
      <c r="I51" s="148" t="str">
        <f t="shared" si="0"/>
        <v/>
      </c>
      <c r="J51" s="144">
        <f>'3b. Mobile Source Factors'!$K$45</f>
        <v>5.7319223985890654E-4</v>
      </c>
      <c r="K51" s="145" t="str">
        <f t="shared" si="1"/>
        <v/>
      </c>
      <c r="L51" s="141" t="str">
        <f t="shared" si="2"/>
        <v/>
      </c>
      <c r="M51" s="141" t="str">
        <f t="shared" si="3"/>
        <v/>
      </c>
      <c r="N51" s="613"/>
      <c r="O51" s="176"/>
      <c r="P51" s="177"/>
      <c r="Q51" s="178"/>
      <c r="S51" s="136"/>
      <c r="T51" s="137"/>
    </row>
    <row r="52" spans="1:63" ht="15" thickTop="1" thickBot="1" x14ac:dyDescent="0.2">
      <c r="A52" s="605"/>
      <c r="B52" s="170"/>
      <c r="C52" s="146" t="s">
        <v>2</v>
      </c>
      <c r="D52" s="147" t="s">
        <v>0</v>
      </c>
      <c r="E52" s="173"/>
      <c r="F52" s="140">
        <f>'3b. Mobile Source Factors'!$K$8</f>
        <v>22.513050000000003</v>
      </c>
      <c r="G52" s="141" t="str">
        <f t="shared" si="4"/>
        <v/>
      </c>
      <c r="H52" s="142">
        <f>'3b. Mobile Source Factors'!$K$32</f>
        <v>1.2786596119929452E-3</v>
      </c>
      <c r="I52" s="148" t="str">
        <f t="shared" si="0"/>
        <v/>
      </c>
      <c r="J52" s="144">
        <f>'3b. Mobile Source Factors'!$K$45</f>
        <v>5.7319223985890654E-4</v>
      </c>
      <c r="K52" s="145" t="str">
        <f t="shared" si="1"/>
        <v/>
      </c>
      <c r="L52" s="141" t="str">
        <f t="shared" si="2"/>
        <v/>
      </c>
      <c r="M52" s="141" t="str">
        <f t="shared" si="3"/>
        <v/>
      </c>
      <c r="N52" s="613"/>
      <c r="O52" s="176"/>
      <c r="P52" s="177"/>
      <c r="Q52" s="179"/>
      <c r="S52" s="136"/>
      <c r="T52" s="137"/>
    </row>
    <row r="53" spans="1:63" ht="15" thickTop="1" thickBot="1" x14ac:dyDescent="0.2">
      <c r="A53" s="605"/>
      <c r="B53" s="169"/>
      <c r="C53" s="146" t="s">
        <v>51</v>
      </c>
      <c r="D53" s="147" t="s">
        <v>0</v>
      </c>
      <c r="E53" s="173"/>
      <c r="F53" s="140">
        <f>'3b. Mobile Source Factors'!$K$18</f>
        <v>12.6126</v>
      </c>
      <c r="G53" s="141" t="str">
        <f t="shared" si="4"/>
        <v/>
      </c>
      <c r="H53" s="144">
        <f>'3b. Mobile Source Factors'!$K$33</f>
        <v>8.1569664902998224E-5</v>
      </c>
      <c r="I53" s="148" t="str">
        <f t="shared" si="0"/>
        <v/>
      </c>
      <c r="J53" s="144">
        <f>'3b. Mobile Source Factors'!$K$46</f>
        <v>1.4770723104056438E-4</v>
      </c>
      <c r="K53" s="145" t="str">
        <f t="shared" si="1"/>
        <v/>
      </c>
      <c r="L53" s="141" t="str">
        <f t="shared" si="2"/>
        <v/>
      </c>
      <c r="M53" s="141" t="str">
        <f t="shared" si="3"/>
        <v/>
      </c>
      <c r="N53" s="613"/>
      <c r="O53" s="176"/>
      <c r="P53" s="177"/>
      <c r="Q53" s="179"/>
      <c r="S53" s="136"/>
      <c r="T53" s="137"/>
    </row>
    <row r="54" spans="1:63" s="156" customFormat="1" ht="15" thickTop="1" thickBot="1" x14ac:dyDescent="0.2">
      <c r="A54" s="605"/>
      <c r="B54" s="171"/>
      <c r="C54" s="149" t="s">
        <v>51</v>
      </c>
      <c r="D54" s="150" t="s">
        <v>0</v>
      </c>
      <c r="E54" s="174"/>
      <c r="F54" s="151">
        <f>'3b. Mobile Source Factors'!$K$18</f>
        <v>12.6126</v>
      </c>
      <c r="G54" s="152" t="str">
        <f t="shared" si="4"/>
        <v/>
      </c>
      <c r="H54" s="153">
        <f>'3b. Mobile Source Factors'!$K$33</f>
        <v>8.1569664902998224E-5</v>
      </c>
      <c r="I54" s="154" t="str">
        <f t="shared" si="0"/>
        <v/>
      </c>
      <c r="J54" s="153">
        <f>'3b. Mobile Source Factors'!$K$46</f>
        <v>1.4770723104056438E-4</v>
      </c>
      <c r="K54" s="155" t="str">
        <f t="shared" si="1"/>
        <v/>
      </c>
      <c r="L54" s="152" t="str">
        <f t="shared" si="2"/>
        <v/>
      </c>
      <c r="M54" s="152" t="str">
        <f t="shared" si="3"/>
        <v/>
      </c>
      <c r="N54" s="592"/>
      <c r="O54" s="180"/>
      <c r="P54" s="181"/>
      <c r="Q54" s="182"/>
      <c r="R54" s="94"/>
      <c r="S54" s="136"/>
      <c r="T54" s="137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</row>
    <row r="55" spans="1:63" ht="15" thickTop="1" thickBot="1" x14ac:dyDescent="0.2">
      <c r="A55" s="605">
        <f>'1. Facility'!B13</f>
        <v>6</v>
      </c>
      <c r="B55" s="168"/>
      <c r="C55" s="127" t="s">
        <v>1</v>
      </c>
      <c r="D55" s="128" t="s">
        <v>0</v>
      </c>
      <c r="E55" s="175"/>
      <c r="F55" s="157">
        <f>'3b. Mobile Source Factors'!$K$7</f>
        <v>19.3599</v>
      </c>
      <c r="G55" s="141" t="str">
        <f t="shared" si="4"/>
        <v/>
      </c>
      <c r="H55" s="142">
        <f>'3b. Mobile Source Factors'!$K$30</f>
        <v>7.341269841269841E-5</v>
      </c>
      <c r="I55" s="148" t="str">
        <f t="shared" si="0"/>
        <v/>
      </c>
      <c r="J55" s="144">
        <f>'3b. Mobile Source Factors'!$K$43</f>
        <v>7.9365079365079362E-6</v>
      </c>
      <c r="K55" s="145" t="str">
        <f t="shared" si="1"/>
        <v/>
      </c>
      <c r="L55" s="141" t="str">
        <f t="shared" si="2"/>
        <v/>
      </c>
      <c r="M55" s="141" t="str">
        <f t="shared" si="3"/>
        <v/>
      </c>
      <c r="N55" s="612">
        <f>SUM(L55:L60)</f>
        <v>0</v>
      </c>
      <c r="O55" s="183"/>
      <c r="P55" s="184"/>
      <c r="Q55" s="185"/>
      <c r="S55" s="136"/>
      <c r="T55" s="137"/>
    </row>
    <row r="56" spans="1:63" ht="15" thickTop="1" thickBot="1" x14ac:dyDescent="0.2">
      <c r="A56" s="605"/>
      <c r="B56" s="169"/>
      <c r="C56" s="138" t="s">
        <v>1</v>
      </c>
      <c r="D56" s="139" t="s">
        <v>0</v>
      </c>
      <c r="E56" s="175"/>
      <c r="F56" s="140">
        <f>'3b. Mobile Source Factors'!$K$7</f>
        <v>19.3599</v>
      </c>
      <c r="G56" s="141" t="str">
        <f t="shared" si="4"/>
        <v/>
      </c>
      <c r="H56" s="142">
        <f>'3b. Mobile Source Factors'!$K$31</f>
        <v>1.1022927689594356E-3</v>
      </c>
      <c r="I56" s="148" t="str">
        <f t="shared" si="0"/>
        <v/>
      </c>
      <c r="J56" s="144">
        <f>'3b. Mobile Source Factors'!$K$44</f>
        <v>4.8500881834215163E-4</v>
      </c>
      <c r="K56" s="145" t="str">
        <f t="shared" si="1"/>
        <v/>
      </c>
      <c r="L56" s="141" t="str">
        <f t="shared" si="2"/>
        <v/>
      </c>
      <c r="M56" s="141" t="str">
        <f t="shared" si="3"/>
        <v/>
      </c>
      <c r="N56" s="613"/>
      <c r="O56" s="183"/>
      <c r="P56" s="177"/>
      <c r="Q56" s="178"/>
      <c r="S56" s="136"/>
      <c r="T56" s="137"/>
    </row>
    <row r="57" spans="1:63" ht="15" thickTop="1" thickBot="1" x14ac:dyDescent="0.2">
      <c r="A57" s="605"/>
      <c r="B57" s="170"/>
      <c r="C57" s="146" t="s">
        <v>2</v>
      </c>
      <c r="D57" s="147" t="s">
        <v>0</v>
      </c>
      <c r="E57" s="173"/>
      <c r="F57" s="140">
        <f>'3b. Mobile Source Factors'!$K$8</f>
        <v>22.513050000000003</v>
      </c>
      <c r="G57" s="141" t="str">
        <f t="shared" si="4"/>
        <v/>
      </c>
      <c r="H57" s="142">
        <f>'3b. Mobile Source Factors'!$K$32</f>
        <v>1.2786596119929452E-3</v>
      </c>
      <c r="I57" s="148" t="str">
        <f t="shared" si="0"/>
        <v/>
      </c>
      <c r="J57" s="144">
        <f>'3b. Mobile Source Factors'!$K$45</f>
        <v>5.7319223985890654E-4</v>
      </c>
      <c r="K57" s="145" t="str">
        <f t="shared" si="1"/>
        <v/>
      </c>
      <c r="L57" s="141" t="str">
        <f t="shared" si="2"/>
        <v/>
      </c>
      <c r="M57" s="141" t="str">
        <f t="shared" si="3"/>
        <v/>
      </c>
      <c r="N57" s="613"/>
      <c r="O57" s="176"/>
      <c r="P57" s="177"/>
      <c r="Q57" s="178"/>
      <c r="S57" s="136"/>
      <c r="T57" s="137"/>
    </row>
    <row r="58" spans="1:63" ht="15" thickTop="1" thickBot="1" x14ac:dyDescent="0.2">
      <c r="A58" s="605"/>
      <c r="B58" s="170"/>
      <c r="C58" s="146" t="s">
        <v>2</v>
      </c>
      <c r="D58" s="147" t="s">
        <v>0</v>
      </c>
      <c r="E58" s="173"/>
      <c r="F58" s="140">
        <f>'3b. Mobile Source Factors'!$K$8</f>
        <v>22.513050000000003</v>
      </c>
      <c r="G58" s="141" t="str">
        <f t="shared" si="4"/>
        <v/>
      </c>
      <c r="H58" s="142">
        <f>'3b. Mobile Source Factors'!$K$32</f>
        <v>1.2786596119929452E-3</v>
      </c>
      <c r="I58" s="148" t="str">
        <f t="shared" si="0"/>
        <v/>
      </c>
      <c r="J58" s="144">
        <f>'3b. Mobile Source Factors'!$K$45</f>
        <v>5.7319223985890654E-4</v>
      </c>
      <c r="K58" s="145" t="str">
        <f t="shared" si="1"/>
        <v/>
      </c>
      <c r="L58" s="141" t="str">
        <f t="shared" si="2"/>
        <v/>
      </c>
      <c r="M58" s="141" t="str">
        <f t="shared" si="3"/>
        <v/>
      </c>
      <c r="N58" s="613"/>
      <c r="O58" s="176"/>
      <c r="P58" s="177"/>
      <c r="Q58" s="179"/>
      <c r="S58" s="136"/>
      <c r="T58" s="137"/>
    </row>
    <row r="59" spans="1:63" ht="15" thickTop="1" thickBot="1" x14ac:dyDescent="0.2">
      <c r="A59" s="605"/>
      <c r="B59" s="169"/>
      <c r="C59" s="146" t="s">
        <v>51</v>
      </c>
      <c r="D59" s="147" t="s">
        <v>0</v>
      </c>
      <c r="E59" s="173"/>
      <c r="F59" s="140">
        <f>'3b. Mobile Source Factors'!$K$18</f>
        <v>12.6126</v>
      </c>
      <c r="G59" s="141" t="str">
        <f t="shared" si="4"/>
        <v/>
      </c>
      <c r="H59" s="144">
        <f>'3b. Mobile Source Factors'!$K$33</f>
        <v>8.1569664902998224E-5</v>
      </c>
      <c r="I59" s="148" t="str">
        <f t="shared" si="0"/>
        <v/>
      </c>
      <c r="J59" s="144">
        <f>'3b. Mobile Source Factors'!$K$46</f>
        <v>1.4770723104056438E-4</v>
      </c>
      <c r="K59" s="145" t="str">
        <f t="shared" si="1"/>
        <v/>
      </c>
      <c r="L59" s="141" t="str">
        <f t="shared" si="2"/>
        <v/>
      </c>
      <c r="M59" s="141" t="str">
        <f t="shared" si="3"/>
        <v/>
      </c>
      <c r="N59" s="613"/>
      <c r="O59" s="176"/>
      <c r="P59" s="177"/>
      <c r="Q59" s="179"/>
      <c r="S59" s="136"/>
      <c r="T59" s="137"/>
    </row>
    <row r="60" spans="1:63" s="156" customFormat="1" ht="15" thickTop="1" thickBot="1" x14ac:dyDescent="0.2">
      <c r="A60" s="605"/>
      <c r="B60" s="171"/>
      <c r="C60" s="149" t="s">
        <v>51</v>
      </c>
      <c r="D60" s="150" t="s">
        <v>0</v>
      </c>
      <c r="E60" s="174"/>
      <c r="F60" s="151">
        <f>'3b. Mobile Source Factors'!$K$18</f>
        <v>12.6126</v>
      </c>
      <c r="G60" s="152" t="str">
        <f t="shared" si="4"/>
        <v/>
      </c>
      <c r="H60" s="153">
        <f>'3b. Mobile Source Factors'!$K$33</f>
        <v>8.1569664902998224E-5</v>
      </c>
      <c r="I60" s="154" t="str">
        <f t="shared" si="0"/>
        <v/>
      </c>
      <c r="J60" s="153">
        <f>'3b. Mobile Source Factors'!$K$46</f>
        <v>1.4770723104056438E-4</v>
      </c>
      <c r="K60" s="155" t="str">
        <f t="shared" si="1"/>
        <v/>
      </c>
      <c r="L60" s="152" t="str">
        <f t="shared" si="2"/>
        <v/>
      </c>
      <c r="M60" s="152" t="str">
        <f t="shared" si="3"/>
        <v/>
      </c>
      <c r="N60" s="592"/>
      <c r="O60" s="180"/>
      <c r="P60" s="181"/>
      <c r="Q60" s="182"/>
      <c r="R60" s="94"/>
      <c r="S60" s="136"/>
      <c r="T60" s="137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</row>
    <row r="61" spans="1:63" ht="15" thickTop="1" thickBot="1" x14ac:dyDescent="0.2">
      <c r="A61" s="605">
        <f>'1. Facility'!B14</f>
        <v>7</v>
      </c>
      <c r="B61" s="168"/>
      <c r="C61" s="127" t="s">
        <v>1</v>
      </c>
      <c r="D61" s="128" t="s">
        <v>0</v>
      </c>
      <c r="E61" s="175"/>
      <c r="F61" s="157">
        <f>'3b. Mobile Source Factors'!$K$7</f>
        <v>19.3599</v>
      </c>
      <c r="G61" s="141" t="str">
        <f t="shared" si="4"/>
        <v/>
      </c>
      <c r="H61" s="142">
        <f>'3b. Mobile Source Factors'!$K$30</f>
        <v>7.341269841269841E-5</v>
      </c>
      <c r="I61" s="148" t="str">
        <f t="shared" si="0"/>
        <v/>
      </c>
      <c r="J61" s="144">
        <f>'3b. Mobile Source Factors'!$K$43</f>
        <v>7.9365079365079362E-6</v>
      </c>
      <c r="K61" s="145" t="str">
        <f t="shared" si="1"/>
        <v/>
      </c>
      <c r="L61" s="141" t="str">
        <f t="shared" si="2"/>
        <v/>
      </c>
      <c r="M61" s="141" t="str">
        <f t="shared" si="3"/>
        <v/>
      </c>
      <c r="N61" s="612">
        <f>SUM(L61:L66)</f>
        <v>0</v>
      </c>
      <c r="O61" s="183"/>
      <c r="P61" s="184"/>
      <c r="Q61" s="185"/>
      <c r="S61" s="136"/>
      <c r="T61" s="137"/>
    </row>
    <row r="62" spans="1:63" ht="15" thickTop="1" thickBot="1" x14ac:dyDescent="0.2">
      <c r="A62" s="605"/>
      <c r="B62" s="169"/>
      <c r="C62" s="138" t="s">
        <v>1</v>
      </c>
      <c r="D62" s="139" t="s">
        <v>0</v>
      </c>
      <c r="E62" s="173"/>
      <c r="F62" s="140">
        <f>'3b. Mobile Source Factors'!$K$7</f>
        <v>19.3599</v>
      </c>
      <c r="G62" s="141" t="str">
        <f t="shared" si="4"/>
        <v/>
      </c>
      <c r="H62" s="142">
        <f>'3b. Mobile Source Factors'!$K$31</f>
        <v>1.1022927689594356E-3</v>
      </c>
      <c r="I62" s="148" t="str">
        <f t="shared" si="0"/>
        <v/>
      </c>
      <c r="J62" s="144">
        <f>'3b. Mobile Source Factors'!$K$44</f>
        <v>4.8500881834215163E-4</v>
      </c>
      <c r="K62" s="145" t="str">
        <f t="shared" si="1"/>
        <v/>
      </c>
      <c r="L62" s="141" t="str">
        <f t="shared" si="2"/>
        <v/>
      </c>
      <c r="M62" s="141" t="str">
        <f t="shared" si="3"/>
        <v/>
      </c>
      <c r="N62" s="613"/>
      <c r="O62" s="176"/>
      <c r="P62" s="177"/>
      <c r="Q62" s="178"/>
      <c r="S62" s="136"/>
      <c r="T62" s="137"/>
    </row>
    <row r="63" spans="1:63" ht="15" thickTop="1" thickBot="1" x14ac:dyDescent="0.2">
      <c r="A63" s="605"/>
      <c r="B63" s="170"/>
      <c r="C63" s="146" t="s">
        <v>2</v>
      </c>
      <c r="D63" s="147" t="s">
        <v>0</v>
      </c>
      <c r="E63" s="173"/>
      <c r="F63" s="140">
        <f>'3b. Mobile Source Factors'!$K$8</f>
        <v>22.513050000000003</v>
      </c>
      <c r="G63" s="141" t="str">
        <f t="shared" si="4"/>
        <v/>
      </c>
      <c r="H63" s="142">
        <f>'3b. Mobile Source Factors'!$K$32</f>
        <v>1.2786596119929452E-3</v>
      </c>
      <c r="I63" s="148" t="str">
        <f t="shared" si="0"/>
        <v/>
      </c>
      <c r="J63" s="144">
        <f>'3b. Mobile Source Factors'!$K$45</f>
        <v>5.7319223985890654E-4</v>
      </c>
      <c r="K63" s="145" t="str">
        <f t="shared" si="1"/>
        <v/>
      </c>
      <c r="L63" s="141" t="str">
        <f t="shared" si="2"/>
        <v/>
      </c>
      <c r="M63" s="141" t="str">
        <f t="shared" si="3"/>
        <v/>
      </c>
      <c r="N63" s="613"/>
      <c r="O63" s="176"/>
      <c r="P63" s="177"/>
      <c r="Q63" s="178"/>
      <c r="S63" s="136"/>
      <c r="T63" s="137"/>
    </row>
    <row r="64" spans="1:63" ht="15" thickTop="1" thickBot="1" x14ac:dyDescent="0.2">
      <c r="A64" s="605"/>
      <c r="B64" s="170"/>
      <c r="C64" s="146" t="s">
        <v>2</v>
      </c>
      <c r="D64" s="147" t="s">
        <v>0</v>
      </c>
      <c r="E64" s="173"/>
      <c r="F64" s="140">
        <f>'3b. Mobile Source Factors'!$K$8</f>
        <v>22.513050000000003</v>
      </c>
      <c r="G64" s="141" t="str">
        <f t="shared" si="4"/>
        <v/>
      </c>
      <c r="H64" s="142">
        <f>'3b. Mobile Source Factors'!$K$32</f>
        <v>1.2786596119929452E-3</v>
      </c>
      <c r="I64" s="148" t="str">
        <f t="shared" si="0"/>
        <v/>
      </c>
      <c r="J64" s="144">
        <f>'3b. Mobile Source Factors'!$K$45</f>
        <v>5.7319223985890654E-4</v>
      </c>
      <c r="K64" s="145" t="str">
        <f t="shared" si="1"/>
        <v/>
      </c>
      <c r="L64" s="141" t="str">
        <f t="shared" si="2"/>
        <v/>
      </c>
      <c r="M64" s="141" t="str">
        <f t="shared" si="3"/>
        <v/>
      </c>
      <c r="N64" s="613"/>
      <c r="O64" s="176"/>
      <c r="P64" s="177"/>
      <c r="Q64" s="179"/>
      <c r="S64" s="136"/>
      <c r="T64" s="137"/>
    </row>
    <row r="65" spans="1:63" ht="15" thickTop="1" thickBot="1" x14ac:dyDescent="0.2">
      <c r="A65" s="605"/>
      <c r="B65" s="169"/>
      <c r="C65" s="146" t="s">
        <v>51</v>
      </c>
      <c r="D65" s="147" t="s">
        <v>0</v>
      </c>
      <c r="E65" s="173"/>
      <c r="F65" s="140">
        <f>'3b. Mobile Source Factors'!$K$18</f>
        <v>12.6126</v>
      </c>
      <c r="G65" s="141" t="str">
        <f t="shared" si="4"/>
        <v/>
      </c>
      <c r="H65" s="144">
        <f>'3b. Mobile Source Factors'!$K$33</f>
        <v>8.1569664902998224E-5</v>
      </c>
      <c r="I65" s="148" t="str">
        <f t="shared" si="0"/>
        <v/>
      </c>
      <c r="J65" s="144">
        <f>'3b. Mobile Source Factors'!$K$46</f>
        <v>1.4770723104056438E-4</v>
      </c>
      <c r="K65" s="145" t="str">
        <f t="shared" si="1"/>
        <v/>
      </c>
      <c r="L65" s="141" t="str">
        <f t="shared" si="2"/>
        <v/>
      </c>
      <c r="M65" s="141" t="str">
        <f t="shared" si="3"/>
        <v/>
      </c>
      <c r="N65" s="613"/>
      <c r="O65" s="176"/>
      <c r="P65" s="177"/>
      <c r="Q65" s="179"/>
      <c r="S65" s="136"/>
      <c r="T65" s="137"/>
    </row>
    <row r="66" spans="1:63" s="156" customFormat="1" ht="15" thickTop="1" thickBot="1" x14ac:dyDescent="0.2">
      <c r="A66" s="605"/>
      <c r="B66" s="171"/>
      <c r="C66" s="149" t="s">
        <v>51</v>
      </c>
      <c r="D66" s="150" t="s">
        <v>0</v>
      </c>
      <c r="E66" s="174"/>
      <c r="F66" s="151">
        <f>'3b. Mobile Source Factors'!$K$18</f>
        <v>12.6126</v>
      </c>
      <c r="G66" s="152" t="str">
        <f t="shared" si="4"/>
        <v/>
      </c>
      <c r="H66" s="153">
        <f>'3b. Mobile Source Factors'!$K$33</f>
        <v>8.1569664902998224E-5</v>
      </c>
      <c r="I66" s="154" t="str">
        <f t="shared" si="0"/>
        <v/>
      </c>
      <c r="J66" s="153">
        <f>'3b. Mobile Source Factors'!$K$46</f>
        <v>1.4770723104056438E-4</v>
      </c>
      <c r="K66" s="155" t="str">
        <f t="shared" si="1"/>
        <v/>
      </c>
      <c r="L66" s="152" t="str">
        <f t="shared" si="2"/>
        <v/>
      </c>
      <c r="M66" s="152" t="str">
        <f t="shared" si="3"/>
        <v/>
      </c>
      <c r="N66" s="592"/>
      <c r="O66" s="180"/>
      <c r="P66" s="181"/>
      <c r="Q66" s="182"/>
      <c r="R66" s="94"/>
      <c r="S66" s="136"/>
      <c r="T66" s="137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</row>
    <row r="67" spans="1:63" ht="15" thickTop="1" thickBot="1" x14ac:dyDescent="0.2">
      <c r="A67" s="605">
        <f>'1. Facility'!B15</f>
        <v>8</v>
      </c>
      <c r="B67" s="168"/>
      <c r="C67" s="127" t="s">
        <v>1</v>
      </c>
      <c r="D67" s="128" t="s">
        <v>0</v>
      </c>
      <c r="E67" s="175"/>
      <c r="F67" s="157">
        <f>'3b. Mobile Source Factors'!$K$7</f>
        <v>19.3599</v>
      </c>
      <c r="G67" s="141" t="str">
        <f t="shared" si="4"/>
        <v/>
      </c>
      <c r="H67" s="142">
        <f>'3b. Mobile Source Factors'!$K$30</f>
        <v>7.341269841269841E-5</v>
      </c>
      <c r="I67" s="148" t="str">
        <f t="shared" si="0"/>
        <v/>
      </c>
      <c r="J67" s="144">
        <f>'3b. Mobile Source Factors'!$K$43</f>
        <v>7.9365079365079362E-6</v>
      </c>
      <c r="K67" s="145" t="str">
        <f t="shared" si="1"/>
        <v/>
      </c>
      <c r="L67" s="141" t="str">
        <f t="shared" si="2"/>
        <v/>
      </c>
      <c r="M67" s="141" t="str">
        <f t="shared" si="3"/>
        <v/>
      </c>
      <c r="N67" s="612">
        <f>SUM(L67:L72)</f>
        <v>0</v>
      </c>
      <c r="O67" s="183"/>
      <c r="P67" s="184"/>
      <c r="Q67" s="185"/>
      <c r="S67" s="136"/>
      <c r="T67" s="137"/>
    </row>
    <row r="68" spans="1:63" ht="15" thickTop="1" thickBot="1" x14ac:dyDescent="0.2">
      <c r="A68" s="605"/>
      <c r="B68" s="169"/>
      <c r="C68" s="138" t="s">
        <v>1</v>
      </c>
      <c r="D68" s="139" t="s">
        <v>0</v>
      </c>
      <c r="E68" s="175"/>
      <c r="F68" s="140">
        <f>'3b. Mobile Source Factors'!$K$7</f>
        <v>19.3599</v>
      </c>
      <c r="G68" s="141" t="str">
        <f t="shared" si="4"/>
        <v/>
      </c>
      <c r="H68" s="142">
        <f>'3b. Mobile Source Factors'!$K$31</f>
        <v>1.1022927689594356E-3</v>
      </c>
      <c r="I68" s="148" t="str">
        <f t="shared" si="0"/>
        <v/>
      </c>
      <c r="J68" s="144">
        <f>'3b. Mobile Source Factors'!$K$44</f>
        <v>4.8500881834215163E-4</v>
      </c>
      <c r="K68" s="145" t="str">
        <f t="shared" si="1"/>
        <v/>
      </c>
      <c r="L68" s="141" t="str">
        <f t="shared" si="2"/>
        <v/>
      </c>
      <c r="M68" s="141" t="str">
        <f t="shared" si="3"/>
        <v/>
      </c>
      <c r="N68" s="613"/>
      <c r="O68" s="183"/>
      <c r="P68" s="177"/>
      <c r="Q68" s="178"/>
      <c r="S68" s="136"/>
      <c r="T68" s="137"/>
    </row>
    <row r="69" spans="1:63" ht="15" thickTop="1" thickBot="1" x14ac:dyDescent="0.2">
      <c r="A69" s="605"/>
      <c r="B69" s="170"/>
      <c r="C69" s="146" t="s">
        <v>2</v>
      </c>
      <c r="D69" s="147" t="s">
        <v>0</v>
      </c>
      <c r="E69" s="173"/>
      <c r="F69" s="140">
        <f>'3b. Mobile Source Factors'!$K$8</f>
        <v>22.513050000000003</v>
      </c>
      <c r="G69" s="141" t="str">
        <f t="shared" si="4"/>
        <v/>
      </c>
      <c r="H69" s="142">
        <f>'3b. Mobile Source Factors'!$K$32</f>
        <v>1.2786596119929452E-3</v>
      </c>
      <c r="I69" s="148" t="str">
        <f t="shared" si="0"/>
        <v/>
      </c>
      <c r="J69" s="144">
        <f>'3b. Mobile Source Factors'!$K$45</f>
        <v>5.7319223985890654E-4</v>
      </c>
      <c r="K69" s="145" t="str">
        <f t="shared" si="1"/>
        <v/>
      </c>
      <c r="L69" s="141" t="str">
        <f t="shared" si="2"/>
        <v/>
      </c>
      <c r="M69" s="141" t="str">
        <f t="shared" si="3"/>
        <v/>
      </c>
      <c r="N69" s="613"/>
      <c r="O69" s="176"/>
      <c r="P69" s="177"/>
      <c r="Q69" s="178"/>
      <c r="S69" s="136"/>
      <c r="T69" s="137"/>
    </row>
    <row r="70" spans="1:63" ht="15" thickTop="1" thickBot="1" x14ac:dyDescent="0.2">
      <c r="A70" s="605"/>
      <c r="B70" s="170"/>
      <c r="C70" s="146" t="s">
        <v>2</v>
      </c>
      <c r="D70" s="147" t="s">
        <v>0</v>
      </c>
      <c r="E70" s="173"/>
      <c r="F70" s="140">
        <f>'3b. Mobile Source Factors'!$K$8</f>
        <v>22.513050000000003</v>
      </c>
      <c r="G70" s="141" t="str">
        <f t="shared" si="4"/>
        <v/>
      </c>
      <c r="H70" s="142">
        <f>'3b. Mobile Source Factors'!$K$32</f>
        <v>1.2786596119929452E-3</v>
      </c>
      <c r="I70" s="148" t="str">
        <f t="shared" si="0"/>
        <v/>
      </c>
      <c r="J70" s="144">
        <f>'3b. Mobile Source Factors'!$K$45</f>
        <v>5.7319223985890654E-4</v>
      </c>
      <c r="K70" s="145" t="str">
        <f t="shared" si="1"/>
        <v/>
      </c>
      <c r="L70" s="141" t="str">
        <f t="shared" si="2"/>
        <v/>
      </c>
      <c r="M70" s="141" t="str">
        <f t="shared" si="3"/>
        <v/>
      </c>
      <c r="N70" s="613"/>
      <c r="O70" s="176"/>
      <c r="P70" s="177"/>
      <c r="Q70" s="179"/>
      <c r="S70" s="136"/>
      <c r="T70" s="137"/>
    </row>
    <row r="71" spans="1:63" ht="15" thickTop="1" thickBot="1" x14ac:dyDescent="0.2">
      <c r="A71" s="605"/>
      <c r="B71" s="169"/>
      <c r="C71" s="146" t="s">
        <v>51</v>
      </c>
      <c r="D71" s="147" t="s">
        <v>0</v>
      </c>
      <c r="E71" s="173"/>
      <c r="F71" s="140">
        <f>'3b. Mobile Source Factors'!$K$18</f>
        <v>12.6126</v>
      </c>
      <c r="G71" s="141" t="str">
        <f t="shared" si="4"/>
        <v/>
      </c>
      <c r="H71" s="144">
        <f>'3b. Mobile Source Factors'!$K$33</f>
        <v>8.1569664902998224E-5</v>
      </c>
      <c r="I71" s="148" t="str">
        <f t="shared" si="0"/>
        <v/>
      </c>
      <c r="J71" s="144">
        <f>'3b. Mobile Source Factors'!$K$46</f>
        <v>1.4770723104056438E-4</v>
      </c>
      <c r="K71" s="145" t="str">
        <f t="shared" si="1"/>
        <v/>
      </c>
      <c r="L71" s="141" t="str">
        <f t="shared" si="2"/>
        <v/>
      </c>
      <c r="M71" s="141" t="str">
        <f t="shared" si="3"/>
        <v/>
      </c>
      <c r="N71" s="613"/>
      <c r="O71" s="176"/>
      <c r="P71" s="177"/>
      <c r="Q71" s="179"/>
      <c r="S71" s="136"/>
      <c r="T71" s="137"/>
    </row>
    <row r="72" spans="1:63" s="156" customFormat="1" ht="15" thickTop="1" thickBot="1" x14ac:dyDescent="0.2">
      <c r="A72" s="605"/>
      <c r="B72" s="171"/>
      <c r="C72" s="149" t="s">
        <v>51</v>
      </c>
      <c r="D72" s="150" t="s">
        <v>0</v>
      </c>
      <c r="E72" s="174"/>
      <c r="F72" s="151">
        <f>'3b. Mobile Source Factors'!$K$18</f>
        <v>12.6126</v>
      </c>
      <c r="G72" s="152" t="str">
        <f t="shared" si="4"/>
        <v/>
      </c>
      <c r="H72" s="153">
        <f>'3b. Mobile Source Factors'!$K$33</f>
        <v>8.1569664902998224E-5</v>
      </c>
      <c r="I72" s="154" t="str">
        <f t="shared" si="0"/>
        <v/>
      </c>
      <c r="J72" s="153">
        <f>'3b. Mobile Source Factors'!$K$46</f>
        <v>1.4770723104056438E-4</v>
      </c>
      <c r="K72" s="155" t="str">
        <f t="shared" si="1"/>
        <v/>
      </c>
      <c r="L72" s="152" t="str">
        <f t="shared" si="2"/>
        <v/>
      </c>
      <c r="M72" s="152" t="str">
        <f t="shared" si="3"/>
        <v/>
      </c>
      <c r="N72" s="592"/>
      <c r="O72" s="180"/>
      <c r="P72" s="181"/>
      <c r="Q72" s="182"/>
      <c r="R72" s="94"/>
      <c r="S72" s="136"/>
      <c r="T72" s="137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</row>
    <row r="73" spans="1:63" ht="15" thickTop="1" thickBot="1" x14ac:dyDescent="0.2">
      <c r="A73" s="605">
        <f>'1. Facility'!B16</f>
        <v>9</v>
      </c>
      <c r="B73" s="168"/>
      <c r="C73" s="127" t="s">
        <v>1</v>
      </c>
      <c r="D73" s="128" t="s">
        <v>0</v>
      </c>
      <c r="E73" s="175"/>
      <c r="F73" s="157">
        <f>'3b. Mobile Source Factors'!$K$7</f>
        <v>19.3599</v>
      </c>
      <c r="G73" s="141" t="str">
        <f t="shared" si="4"/>
        <v/>
      </c>
      <c r="H73" s="142">
        <f>'3b. Mobile Source Factors'!$K$30</f>
        <v>7.341269841269841E-5</v>
      </c>
      <c r="I73" s="148" t="str">
        <f t="shared" si="0"/>
        <v/>
      </c>
      <c r="J73" s="144">
        <f>'3b. Mobile Source Factors'!$K$43</f>
        <v>7.9365079365079362E-6</v>
      </c>
      <c r="K73" s="145" t="str">
        <f t="shared" si="1"/>
        <v/>
      </c>
      <c r="L73" s="141" t="str">
        <f t="shared" si="2"/>
        <v/>
      </c>
      <c r="M73" s="141" t="str">
        <f t="shared" si="3"/>
        <v/>
      </c>
      <c r="N73" s="612">
        <f>SUM(L73:L78)</f>
        <v>0</v>
      </c>
      <c r="O73" s="183"/>
      <c r="P73" s="184"/>
      <c r="Q73" s="185"/>
      <c r="S73" s="136"/>
      <c r="T73" s="137"/>
    </row>
    <row r="74" spans="1:63" ht="15" thickTop="1" thickBot="1" x14ac:dyDescent="0.2">
      <c r="A74" s="605"/>
      <c r="B74" s="169"/>
      <c r="C74" s="138" t="s">
        <v>1</v>
      </c>
      <c r="D74" s="139" t="s">
        <v>0</v>
      </c>
      <c r="E74" s="173"/>
      <c r="F74" s="140">
        <f>'3b. Mobile Source Factors'!$K$7</f>
        <v>19.3599</v>
      </c>
      <c r="G74" s="141" t="str">
        <f t="shared" si="4"/>
        <v/>
      </c>
      <c r="H74" s="142">
        <f>'3b. Mobile Source Factors'!$K$31</f>
        <v>1.1022927689594356E-3</v>
      </c>
      <c r="I74" s="148" t="str">
        <f t="shared" si="0"/>
        <v/>
      </c>
      <c r="J74" s="144">
        <f>'3b. Mobile Source Factors'!$K$44</f>
        <v>4.8500881834215163E-4</v>
      </c>
      <c r="K74" s="145" t="str">
        <f t="shared" si="1"/>
        <v/>
      </c>
      <c r="L74" s="141" t="str">
        <f t="shared" si="2"/>
        <v/>
      </c>
      <c r="M74" s="141" t="str">
        <f t="shared" si="3"/>
        <v/>
      </c>
      <c r="N74" s="613"/>
      <c r="O74" s="176"/>
      <c r="P74" s="177"/>
      <c r="Q74" s="178"/>
      <c r="S74" s="136"/>
      <c r="T74" s="137"/>
    </row>
    <row r="75" spans="1:63" ht="15" thickTop="1" thickBot="1" x14ac:dyDescent="0.2">
      <c r="A75" s="605"/>
      <c r="B75" s="170"/>
      <c r="C75" s="146" t="s">
        <v>2</v>
      </c>
      <c r="D75" s="147" t="s">
        <v>0</v>
      </c>
      <c r="E75" s="173"/>
      <c r="F75" s="140">
        <f>'3b. Mobile Source Factors'!$K$8</f>
        <v>22.513050000000003</v>
      </c>
      <c r="G75" s="141" t="str">
        <f t="shared" si="4"/>
        <v/>
      </c>
      <c r="H75" s="142">
        <f>'3b. Mobile Source Factors'!$K$32</f>
        <v>1.2786596119929452E-3</v>
      </c>
      <c r="I75" s="148" t="str">
        <f t="shared" si="0"/>
        <v/>
      </c>
      <c r="J75" s="144">
        <f>'3b. Mobile Source Factors'!$K$45</f>
        <v>5.7319223985890654E-4</v>
      </c>
      <c r="K75" s="145" t="str">
        <f t="shared" si="1"/>
        <v/>
      </c>
      <c r="L75" s="141" t="str">
        <f t="shared" si="2"/>
        <v/>
      </c>
      <c r="M75" s="141" t="str">
        <f t="shared" si="3"/>
        <v/>
      </c>
      <c r="N75" s="613"/>
      <c r="O75" s="176"/>
      <c r="P75" s="177"/>
      <c r="Q75" s="178"/>
      <c r="S75" s="136"/>
      <c r="T75" s="137"/>
    </row>
    <row r="76" spans="1:63" ht="15" thickTop="1" thickBot="1" x14ac:dyDescent="0.2">
      <c r="A76" s="605"/>
      <c r="B76" s="170"/>
      <c r="C76" s="146" t="s">
        <v>2</v>
      </c>
      <c r="D76" s="147" t="s">
        <v>0</v>
      </c>
      <c r="E76" s="173"/>
      <c r="F76" s="140">
        <f>'3b. Mobile Source Factors'!$K$8</f>
        <v>22.513050000000003</v>
      </c>
      <c r="G76" s="141" t="str">
        <f t="shared" si="4"/>
        <v/>
      </c>
      <c r="H76" s="142">
        <f>'3b. Mobile Source Factors'!$K$32</f>
        <v>1.2786596119929452E-3</v>
      </c>
      <c r="I76" s="148" t="str">
        <f t="shared" si="0"/>
        <v/>
      </c>
      <c r="J76" s="144">
        <f>'3b. Mobile Source Factors'!$K$45</f>
        <v>5.7319223985890654E-4</v>
      </c>
      <c r="K76" s="145" t="str">
        <f t="shared" si="1"/>
        <v/>
      </c>
      <c r="L76" s="141" t="str">
        <f t="shared" si="2"/>
        <v/>
      </c>
      <c r="M76" s="141" t="str">
        <f t="shared" si="3"/>
        <v/>
      </c>
      <c r="N76" s="613"/>
      <c r="O76" s="176"/>
      <c r="P76" s="177"/>
      <c r="Q76" s="179"/>
      <c r="S76" s="136"/>
      <c r="T76" s="137"/>
    </row>
    <row r="77" spans="1:63" ht="15" thickTop="1" thickBot="1" x14ac:dyDescent="0.2">
      <c r="A77" s="605"/>
      <c r="B77" s="169"/>
      <c r="C77" s="146" t="s">
        <v>51</v>
      </c>
      <c r="D77" s="147" t="s">
        <v>0</v>
      </c>
      <c r="E77" s="173"/>
      <c r="F77" s="140">
        <f>'3b. Mobile Source Factors'!$K$18</f>
        <v>12.6126</v>
      </c>
      <c r="G77" s="141" t="str">
        <f t="shared" si="4"/>
        <v/>
      </c>
      <c r="H77" s="142">
        <f>'3b. Mobile Source Factors'!$K$33</f>
        <v>8.1569664902998224E-5</v>
      </c>
      <c r="I77" s="148" t="str">
        <f t="shared" si="0"/>
        <v/>
      </c>
      <c r="J77" s="144">
        <f>'3b. Mobile Source Factors'!$K$46</f>
        <v>1.4770723104056438E-4</v>
      </c>
      <c r="K77" s="145" t="str">
        <f t="shared" si="1"/>
        <v/>
      </c>
      <c r="L77" s="141" t="str">
        <f t="shared" si="2"/>
        <v/>
      </c>
      <c r="M77" s="141" t="str">
        <f t="shared" si="3"/>
        <v/>
      </c>
      <c r="N77" s="613"/>
      <c r="O77" s="176"/>
      <c r="P77" s="177"/>
      <c r="Q77" s="179"/>
      <c r="S77" s="136"/>
      <c r="T77" s="137"/>
    </row>
    <row r="78" spans="1:63" s="156" customFormat="1" ht="15" thickTop="1" thickBot="1" x14ac:dyDescent="0.2">
      <c r="A78" s="605"/>
      <c r="B78" s="171"/>
      <c r="C78" s="149" t="s">
        <v>51</v>
      </c>
      <c r="D78" s="150" t="s">
        <v>0</v>
      </c>
      <c r="E78" s="174"/>
      <c r="F78" s="151">
        <f>'3b. Mobile Source Factors'!$K$18</f>
        <v>12.6126</v>
      </c>
      <c r="G78" s="152" t="str">
        <f t="shared" si="4"/>
        <v/>
      </c>
      <c r="H78" s="158">
        <f>'3b. Mobile Source Factors'!$K$33</f>
        <v>8.1569664902998224E-5</v>
      </c>
      <c r="I78" s="154" t="str">
        <f t="shared" si="0"/>
        <v/>
      </c>
      <c r="J78" s="153">
        <f>'3b. Mobile Source Factors'!$K$46</f>
        <v>1.4770723104056438E-4</v>
      </c>
      <c r="K78" s="155" t="str">
        <f t="shared" si="1"/>
        <v/>
      </c>
      <c r="L78" s="152" t="str">
        <f t="shared" si="2"/>
        <v/>
      </c>
      <c r="M78" s="152" t="str">
        <f t="shared" si="3"/>
        <v/>
      </c>
      <c r="N78" s="592"/>
      <c r="O78" s="180"/>
      <c r="P78" s="181"/>
      <c r="Q78" s="182"/>
      <c r="R78" s="94"/>
      <c r="S78" s="136"/>
      <c r="T78" s="137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</row>
    <row r="79" spans="1:63" ht="15" thickTop="1" thickBot="1" x14ac:dyDescent="0.2">
      <c r="A79" s="605">
        <f>'1. Facility'!B17</f>
        <v>10</v>
      </c>
      <c r="B79" s="168"/>
      <c r="C79" s="127" t="s">
        <v>1</v>
      </c>
      <c r="D79" s="128" t="s">
        <v>0</v>
      </c>
      <c r="E79" s="175"/>
      <c r="F79" s="157">
        <f>'3b. Mobile Source Factors'!$K$7</f>
        <v>19.3599</v>
      </c>
      <c r="G79" s="141" t="str">
        <f t="shared" si="4"/>
        <v/>
      </c>
      <c r="H79" s="142">
        <f>'3b. Mobile Source Factors'!$K$30</f>
        <v>7.341269841269841E-5</v>
      </c>
      <c r="I79" s="148" t="str">
        <f t="shared" si="0"/>
        <v/>
      </c>
      <c r="J79" s="144">
        <f>'3b. Mobile Source Factors'!$K$43</f>
        <v>7.9365079365079362E-6</v>
      </c>
      <c r="K79" s="145" t="str">
        <f t="shared" si="1"/>
        <v/>
      </c>
      <c r="L79" s="141" t="str">
        <f t="shared" si="2"/>
        <v/>
      </c>
      <c r="M79" s="141" t="str">
        <f t="shared" si="3"/>
        <v/>
      </c>
      <c r="N79" s="612">
        <f>SUM(L79:L84)</f>
        <v>0</v>
      </c>
      <c r="O79" s="183"/>
      <c r="P79" s="184"/>
      <c r="Q79" s="185"/>
      <c r="S79" s="136"/>
      <c r="T79" s="137"/>
    </row>
    <row r="80" spans="1:63" ht="15" thickTop="1" thickBot="1" x14ac:dyDescent="0.2">
      <c r="A80" s="605"/>
      <c r="B80" s="169"/>
      <c r="C80" s="138" t="s">
        <v>1</v>
      </c>
      <c r="D80" s="139" t="s">
        <v>0</v>
      </c>
      <c r="E80" s="175"/>
      <c r="F80" s="140">
        <f>'3b. Mobile Source Factors'!$K$7</f>
        <v>19.3599</v>
      </c>
      <c r="G80" s="141" t="str">
        <f t="shared" si="4"/>
        <v/>
      </c>
      <c r="H80" s="142">
        <f>'3b. Mobile Source Factors'!$K$31</f>
        <v>1.1022927689594356E-3</v>
      </c>
      <c r="I80" s="148" t="str">
        <f t="shared" si="0"/>
        <v/>
      </c>
      <c r="J80" s="144">
        <f>'3b. Mobile Source Factors'!$K$44</f>
        <v>4.8500881834215163E-4</v>
      </c>
      <c r="K80" s="145" t="str">
        <f t="shared" si="1"/>
        <v/>
      </c>
      <c r="L80" s="141" t="str">
        <f t="shared" si="2"/>
        <v/>
      </c>
      <c r="M80" s="141" t="str">
        <f t="shared" si="3"/>
        <v/>
      </c>
      <c r="N80" s="613"/>
      <c r="O80" s="183"/>
      <c r="P80" s="177"/>
      <c r="Q80" s="178"/>
      <c r="S80" s="136"/>
      <c r="T80" s="137"/>
    </row>
    <row r="81" spans="1:63" ht="15" thickTop="1" thickBot="1" x14ac:dyDescent="0.2">
      <c r="A81" s="605"/>
      <c r="B81" s="170"/>
      <c r="C81" s="146" t="s">
        <v>2</v>
      </c>
      <c r="D81" s="147" t="s">
        <v>0</v>
      </c>
      <c r="E81" s="173"/>
      <c r="F81" s="140">
        <f>'3b. Mobile Source Factors'!$K$8</f>
        <v>22.513050000000003</v>
      </c>
      <c r="G81" s="141" t="str">
        <f t="shared" si="4"/>
        <v/>
      </c>
      <c r="H81" s="142">
        <f>'3b. Mobile Source Factors'!$K$32</f>
        <v>1.2786596119929452E-3</v>
      </c>
      <c r="I81" s="148" t="str">
        <f t="shared" si="0"/>
        <v/>
      </c>
      <c r="J81" s="144">
        <f>'3b. Mobile Source Factors'!$K$45</f>
        <v>5.7319223985890654E-4</v>
      </c>
      <c r="K81" s="145" t="str">
        <f t="shared" si="1"/>
        <v/>
      </c>
      <c r="L81" s="141" t="str">
        <f t="shared" si="2"/>
        <v/>
      </c>
      <c r="M81" s="141" t="str">
        <f t="shared" si="3"/>
        <v/>
      </c>
      <c r="N81" s="613"/>
      <c r="O81" s="176"/>
      <c r="P81" s="177"/>
      <c r="Q81" s="178"/>
      <c r="S81" s="136"/>
      <c r="T81" s="137"/>
    </row>
    <row r="82" spans="1:63" ht="15" thickTop="1" thickBot="1" x14ac:dyDescent="0.2">
      <c r="A82" s="605"/>
      <c r="B82" s="170"/>
      <c r="C82" s="146" t="s">
        <v>2</v>
      </c>
      <c r="D82" s="147" t="s">
        <v>0</v>
      </c>
      <c r="E82" s="173"/>
      <c r="F82" s="140">
        <f>'3b. Mobile Source Factors'!$K$8</f>
        <v>22.513050000000003</v>
      </c>
      <c r="G82" s="141" t="str">
        <f t="shared" si="4"/>
        <v/>
      </c>
      <c r="H82" s="142">
        <f>'3b. Mobile Source Factors'!$K$32</f>
        <v>1.2786596119929452E-3</v>
      </c>
      <c r="I82" s="148" t="str">
        <f t="shared" si="0"/>
        <v/>
      </c>
      <c r="J82" s="144">
        <f>'3b. Mobile Source Factors'!$K$45</f>
        <v>5.7319223985890654E-4</v>
      </c>
      <c r="K82" s="145" t="str">
        <f t="shared" si="1"/>
        <v/>
      </c>
      <c r="L82" s="141" t="str">
        <f t="shared" si="2"/>
        <v/>
      </c>
      <c r="M82" s="141" t="str">
        <f t="shared" si="3"/>
        <v/>
      </c>
      <c r="N82" s="613"/>
      <c r="O82" s="176"/>
      <c r="P82" s="177"/>
      <c r="Q82" s="179"/>
      <c r="S82" s="136"/>
      <c r="T82" s="137"/>
    </row>
    <row r="83" spans="1:63" ht="15" thickTop="1" thickBot="1" x14ac:dyDescent="0.2">
      <c r="A83" s="605"/>
      <c r="B83" s="169"/>
      <c r="C83" s="146" t="s">
        <v>51</v>
      </c>
      <c r="D83" s="147" t="s">
        <v>0</v>
      </c>
      <c r="E83" s="173"/>
      <c r="F83" s="140">
        <f>'3b. Mobile Source Factors'!$K$18</f>
        <v>12.6126</v>
      </c>
      <c r="G83" s="141" t="str">
        <f t="shared" si="4"/>
        <v/>
      </c>
      <c r="H83" s="142">
        <f>'3b. Mobile Source Factors'!$K$33</f>
        <v>8.1569664902998224E-5</v>
      </c>
      <c r="I83" s="148" t="str">
        <f t="shared" si="0"/>
        <v/>
      </c>
      <c r="J83" s="144">
        <f>'3b. Mobile Source Factors'!$K$46</f>
        <v>1.4770723104056438E-4</v>
      </c>
      <c r="K83" s="145" t="str">
        <f t="shared" si="1"/>
        <v/>
      </c>
      <c r="L83" s="141" t="str">
        <f t="shared" si="2"/>
        <v/>
      </c>
      <c r="M83" s="141" t="str">
        <f t="shared" si="3"/>
        <v/>
      </c>
      <c r="N83" s="613"/>
      <c r="O83" s="176"/>
      <c r="P83" s="177"/>
      <c r="Q83" s="179"/>
      <c r="S83" s="136"/>
      <c r="T83" s="137"/>
    </row>
    <row r="84" spans="1:63" s="156" customFormat="1" ht="15" thickTop="1" thickBot="1" x14ac:dyDescent="0.2">
      <c r="A84" s="605"/>
      <c r="B84" s="171"/>
      <c r="C84" s="149" t="s">
        <v>51</v>
      </c>
      <c r="D84" s="150" t="s">
        <v>0</v>
      </c>
      <c r="E84" s="174"/>
      <c r="F84" s="151">
        <f>'3b. Mobile Source Factors'!$K$18</f>
        <v>12.6126</v>
      </c>
      <c r="G84" s="152" t="str">
        <f t="shared" si="4"/>
        <v/>
      </c>
      <c r="H84" s="158">
        <f>'3b. Mobile Source Factors'!$K$33</f>
        <v>8.1569664902998224E-5</v>
      </c>
      <c r="I84" s="154" t="str">
        <f t="shared" si="0"/>
        <v/>
      </c>
      <c r="J84" s="153">
        <f>'3b. Mobile Source Factors'!$K$46</f>
        <v>1.4770723104056438E-4</v>
      </c>
      <c r="K84" s="155" t="str">
        <f t="shared" si="1"/>
        <v/>
      </c>
      <c r="L84" s="152" t="str">
        <f t="shared" si="2"/>
        <v/>
      </c>
      <c r="M84" s="152" t="str">
        <f t="shared" si="3"/>
        <v/>
      </c>
      <c r="N84" s="592"/>
      <c r="O84" s="180"/>
      <c r="P84" s="181"/>
      <c r="Q84" s="182"/>
      <c r="R84" s="94"/>
      <c r="S84" s="136"/>
      <c r="T84" s="13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</row>
    <row r="85" spans="1:63" s="77" customFormat="1" ht="15" thickTop="1" thickBot="1" x14ac:dyDescent="0.2">
      <c r="A85" s="620" t="s">
        <v>4</v>
      </c>
      <c r="B85" s="620"/>
      <c r="C85" s="620"/>
      <c r="D85" s="620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1"/>
      <c r="Q85" s="621"/>
      <c r="R85" s="94"/>
      <c r="S85" s="136"/>
      <c r="T85" s="137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</row>
    <row r="86" spans="1:63" ht="15" thickTop="1" thickBot="1" x14ac:dyDescent="0.2">
      <c r="A86" s="605">
        <f>A25</f>
        <v>1</v>
      </c>
      <c r="B86" s="172"/>
      <c r="C86" s="159" t="s">
        <v>1</v>
      </c>
      <c r="D86" s="160" t="s">
        <v>0</v>
      </c>
      <c r="E86" s="175"/>
      <c r="F86" s="157">
        <f>'3b. Mobile Source Factors'!$K$7</f>
        <v>19.3599</v>
      </c>
      <c r="G86" s="141" t="str">
        <f t="shared" si="4"/>
        <v/>
      </c>
      <c r="H86" s="142">
        <f>'3b. Mobile Source Factors'!$K$31</f>
        <v>1.1022927689594356E-3</v>
      </c>
      <c r="I86" s="148" t="str">
        <f t="shared" si="0"/>
        <v/>
      </c>
      <c r="J86" s="144">
        <f>'3b. Mobile Source Factors'!$K$44</f>
        <v>4.8500881834215163E-4</v>
      </c>
      <c r="K86" s="145" t="str">
        <f t="shared" si="1"/>
        <v/>
      </c>
      <c r="L86" s="141">
        <f t="shared" ref="L86:L91" si="5">IF(E86&gt;0, G86+I86+K86, 0)</f>
        <v>0</v>
      </c>
      <c r="M86" s="141" t="str">
        <f t="shared" si="3"/>
        <v/>
      </c>
      <c r="N86" s="591">
        <f>L86+L87</f>
        <v>0</v>
      </c>
      <c r="O86" s="183"/>
      <c r="P86" s="186"/>
      <c r="Q86" s="187"/>
      <c r="S86" s="136"/>
      <c r="T86" s="136"/>
    </row>
    <row r="87" spans="1:63" s="156" customFormat="1" ht="15" thickTop="1" thickBot="1" x14ac:dyDescent="0.2">
      <c r="A87" s="605"/>
      <c r="B87" s="171"/>
      <c r="C87" s="161" t="s">
        <v>2</v>
      </c>
      <c r="D87" s="162" t="s">
        <v>0</v>
      </c>
      <c r="E87" s="174"/>
      <c r="F87" s="151">
        <f>'3b. Mobile Source Factors'!$K$8</f>
        <v>22.513050000000003</v>
      </c>
      <c r="G87" s="152" t="str">
        <f t="shared" si="4"/>
        <v/>
      </c>
      <c r="H87" s="158">
        <f>'3b. Mobile Source Factors'!$K$34</f>
        <v>1.7636684303350969E-3</v>
      </c>
      <c r="I87" s="154" t="str">
        <f t="shared" si="0"/>
        <v/>
      </c>
      <c r="J87" s="153">
        <f>'3b. Mobile Source Factors'!$K$47</f>
        <v>5.7319223985890654E-4</v>
      </c>
      <c r="K87" s="155" t="str">
        <f t="shared" si="1"/>
        <v/>
      </c>
      <c r="L87" s="152">
        <f t="shared" si="5"/>
        <v>0</v>
      </c>
      <c r="M87" s="152" t="str">
        <f t="shared" si="3"/>
        <v/>
      </c>
      <c r="N87" s="592"/>
      <c r="O87" s="180"/>
      <c r="P87" s="181"/>
      <c r="Q87" s="182"/>
      <c r="R87" s="94"/>
      <c r="S87" s="136"/>
      <c r="T87" s="136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</row>
    <row r="88" spans="1:63" ht="15" thickTop="1" thickBot="1" x14ac:dyDescent="0.2">
      <c r="A88" s="605">
        <f>A31</f>
        <v>2</v>
      </c>
      <c r="B88" s="172"/>
      <c r="C88" s="159" t="s">
        <v>1</v>
      </c>
      <c r="D88" s="160" t="s">
        <v>0</v>
      </c>
      <c r="E88" s="175"/>
      <c r="F88" s="157">
        <f>'3b. Mobile Source Factors'!$K$7</f>
        <v>19.3599</v>
      </c>
      <c r="G88" s="141" t="str">
        <f t="shared" si="4"/>
        <v/>
      </c>
      <c r="H88" s="142">
        <f>'3b. Mobile Source Factors'!$K$31</f>
        <v>1.1022927689594356E-3</v>
      </c>
      <c r="I88" s="148" t="str">
        <f t="shared" si="0"/>
        <v/>
      </c>
      <c r="J88" s="144">
        <f>'3b. Mobile Source Factors'!$K$44</f>
        <v>4.8500881834215163E-4</v>
      </c>
      <c r="K88" s="145" t="str">
        <f t="shared" si="1"/>
        <v/>
      </c>
      <c r="L88" s="141">
        <f t="shared" si="5"/>
        <v>0</v>
      </c>
      <c r="M88" s="141" t="str">
        <f t="shared" si="3"/>
        <v/>
      </c>
      <c r="N88" s="591">
        <f>L88+L89</f>
        <v>0</v>
      </c>
      <c r="O88" s="183"/>
      <c r="P88" s="184"/>
      <c r="Q88" s="188"/>
      <c r="S88" s="136"/>
      <c r="T88" s="136"/>
    </row>
    <row r="89" spans="1:63" s="156" customFormat="1" ht="15" thickTop="1" thickBot="1" x14ac:dyDescent="0.2">
      <c r="A89" s="605"/>
      <c r="B89" s="171"/>
      <c r="C89" s="161" t="s">
        <v>2</v>
      </c>
      <c r="D89" s="162" t="s">
        <v>0</v>
      </c>
      <c r="E89" s="174"/>
      <c r="F89" s="151">
        <f>'3b. Mobile Source Factors'!$K$8</f>
        <v>22.513050000000003</v>
      </c>
      <c r="G89" s="152" t="str">
        <f t="shared" si="4"/>
        <v/>
      </c>
      <c r="H89" s="158">
        <f>'3b. Mobile Source Factors'!$K$34</f>
        <v>1.7636684303350969E-3</v>
      </c>
      <c r="I89" s="154" t="str">
        <f t="shared" si="0"/>
        <v/>
      </c>
      <c r="J89" s="153">
        <f>'3b. Mobile Source Factors'!$K$47</f>
        <v>5.7319223985890654E-4</v>
      </c>
      <c r="K89" s="155" t="str">
        <f t="shared" si="1"/>
        <v/>
      </c>
      <c r="L89" s="152">
        <f t="shared" si="5"/>
        <v>0</v>
      </c>
      <c r="M89" s="152" t="str">
        <f t="shared" si="3"/>
        <v/>
      </c>
      <c r="N89" s="592"/>
      <c r="O89" s="180"/>
      <c r="P89" s="189"/>
      <c r="Q89" s="180"/>
      <c r="R89" s="94"/>
      <c r="S89" s="136"/>
      <c r="T89" s="136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</row>
    <row r="90" spans="1:63" ht="15" thickTop="1" thickBot="1" x14ac:dyDescent="0.2">
      <c r="A90" s="605">
        <f>A37</f>
        <v>3</v>
      </c>
      <c r="B90" s="172"/>
      <c r="C90" s="159" t="s">
        <v>1</v>
      </c>
      <c r="D90" s="160" t="s">
        <v>0</v>
      </c>
      <c r="E90" s="175"/>
      <c r="F90" s="157">
        <f>'3b. Mobile Source Factors'!$K$7</f>
        <v>19.3599</v>
      </c>
      <c r="G90" s="141" t="str">
        <f t="shared" si="4"/>
        <v/>
      </c>
      <c r="H90" s="142">
        <f>'3b. Mobile Source Factors'!$K$31</f>
        <v>1.1022927689594356E-3</v>
      </c>
      <c r="I90" s="148" t="str">
        <f t="shared" ref="I90:I95" si="6">IF(E90&gt;0, E90*H90*$I$8/2000, "")</f>
        <v/>
      </c>
      <c r="J90" s="144">
        <f>'3b. Mobile Source Factors'!$K$44</f>
        <v>4.8500881834215163E-4</v>
      </c>
      <c r="K90" s="145" t="str">
        <f t="shared" ref="K90:K95" si="7">IF(E90&gt;0, E90*J90*$I$9/2000, "")</f>
        <v/>
      </c>
      <c r="L90" s="141">
        <f t="shared" si="5"/>
        <v>0</v>
      </c>
      <c r="M90" s="141" t="str">
        <f t="shared" ref="M90:M95" si="8">IF(E90&gt;0, (G90/(G90+I90+K90))*100, "")</f>
        <v/>
      </c>
      <c r="N90" s="591">
        <f>L90+L91</f>
        <v>0</v>
      </c>
      <c r="O90" s="183"/>
      <c r="P90" s="184"/>
      <c r="Q90" s="190"/>
      <c r="S90" s="136"/>
      <c r="T90" s="136"/>
    </row>
    <row r="91" spans="1:63" s="156" customFormat="1" ht="15" thickTop="1" thickBot="1" x14ac:dyDescent="0.2">
      <c r="A91" s="605"/>
      <c r="B91" s="171"/>
      <c r="C91" s="161" t="s">
        <v>2</v>
      </c>
      <c r="D91" s="162" t="s">
        <v>0</v>
      </c>
      <c r="E91" s="174"/>
      <c r="F91" s="151">
        <f>'3b. Mobile Source Factors'!$K$8</f>
        <v>22.513050000000003</v>
      </c>
      <c r="G91" s="152" t="str">
        <f t="shared" ref="G91:G96" si="9">IF(E91&gt;0, E91*F91/2000, "")</f>
        <v/>
      </c>
      <c r="H91" s="158">
        <f>'3b. Mobile Source Factors'!$K$34</f>
        <v>1.7636684303350969E-3</v>
      </c>
      <c r="I91" s="154" t="str">
        <f t="shared" si="6"/>
        <v/>
      </c>
      <c r="J91" s="153">
        <f>'3b. Mobile Source Factors'!$K$47</f>
        <v>5.7319223985890654E-4</v>
      </c>
      <c r="K91" s="155" t="str">
        <f t="shared" si="7"/>
        <v/>
      </c>
      <c r="L91" s="152">
        <f t="shared" si="5"/>
        <v>0</v>
      </c>
      <c r="M91" s="152" t="str">
        <f t="shared" si="8"/>
        <v/>
      </c>
      <c r="N91" s="592"/>
      <c r="O91" s="180"/>
      <c r="P91" s="181"/>
      <c r="Q91" s="182"/>
      <c r="R91" s="94"/>
      <c r="S91" s="136"/>
      <c r="T91" s="136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</row>
    <row r="92" spans="1:63" ht="15" thickTop="1" thickBot="1" x14ac:dyDescent="0.2">
      <c r="A92" s="605">
        <f>A43</f>
        <v>4</v>
      </c>
      <c r="B92" s="172"/>
      <c r="C92" s="159" t="s">
        <v>1</v>
      </c>
      <c r="D92" s="160" t="s">
        <v>0</v>
      </c>
      <c r="E92" s="175"/>
      <c r="F92" s="157">
        <f>'3b. Mobile Source Factors'!$K$7</f>
        <v>19.3599</v>
      </c>
      <c r="G92" s="141" t="str">
        <f t="shared" si="9"/>
        <v/>
      </c>
      <c r="H92" s="142">
        <f>'3b. Mobile Source Factors'!$K$31</f>
        <v>1.1022927689594356E-3</v>
      </c>
      <c r="I92" s="148" t="str">
        <f t="shared" si="6"/>
        <v/>
      </c>
      <c r="J92" s="144">
        <f>'3b. Mobile Source Factors'!$K$44</f>
        <v>4.8500881834215163E-4</v>
      </c>
      <c r="K92" s="145" t="str">
        <f t="shared" si="7"/>
        <v/>
      </c>
      <c r="L92" s="141">
        <f>IF(E92&gt;0, G92+I92+K92,0)</f>
        <v>0</v>
      </c>
      <c r="M92" s="141" t="str">
        <f t="shared" si="8"/>
        <v/>
      </c>
      <c r="N92" s="591">
        <f>L92+L93</f>
        <v>0</v>
      </c>
      <c r="O92" s="183"/>
      <c r="P92" s="184"/>
      <c r="Q92" s="190"/>
      <c r="S92" s="136"/>
      <c r="T92" s="136"/>
    </row>
    <row r="93" spans="1:63" s="156" customFormat="1" ht="15" thickTop="1" thickBot="1" x14ac:dyDescent="0.2">
      <c r="A93" s="605"/>
      <c r="B93" s="171"/>
      <c r="C93" s="161" t="s">
        <v>2</v>
      </c>
      <c r="D93" s="162" t="s">
        <v>0</v>
      </c>
      <c r="E93" s="174"/>
      <c r="F93" s="151">
        <f>'3b. Mobile Source Factors'!$K$8</f>
        <v>22.513050000000003</v>
      </c>
      <c r="G93" s="152" t="str">
        <f t="shared" si="9"/>
        <v/>
      </c>
      <c r="H93" s="158">
        <f>'3b. Mobile Source Factors'!$K$34</f>
        <v>1.7636684303350969E-3</v>
      </c>
      <c r="I93" s="154" t="str">
        <f t="shared" si="6"/>
        <v/>
      </c>
      <c r="J93" s="153">
        <f>'3b. Mobile Source Factors'!$K$47</f>
        <v>5.7319223985890654E-4</v>
      </c>
      <c r="K93" s="155" t="str">
        <f t="shared" si="7"/>
        <v/>
      </c>
      <c r="L93" s="152">
        <f t="shared" ref="L93:L105" si="10">IF(E93&gt;0, G93+I93+K93, 0)</f>
        <v>0</v>
      </c>
      <c r="M93" s="152" t="str">
        <f t="shared" si="8"/>
        <v/>
      </c>
      <c r="N93" s="592"/>
      <c r="O93" s="180"/>
      <c r="P93" s="181"/>
      <c r="Q93" s="182"/>
      <c r="R93" s="94"/>
      <c r="S93" s="136"/>
      <c r="T93" s="136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</row>
    <row r="94" spans="1:63" ht="15" thickTop="1" thickBot="1" x14ac:dyDescent="0.2">
      <c r="A94" s="605">
        <f>A49</f>
        <v>5</v>
      </c>
      <c r="B94" s="172"/>
      <c r="C94" s="159" t="s">
        <v>1</v>
      </c>
      <c r="D94" s="160" t="s">
        <v>0</v>
      </c>
      <c r="E94" s="175"/>
      <c r="F94" s="157">
        <f>'3b. Mobile Source Factors'!$K$7</f>
        <v>19.3599</v>
      </c>
      <c r="G94" s="141" t="str">
        <f t="shared" si="9"/>
        <v/>
      </c>
      <c r="H94" s="142">
        <f>'3b. Mobile Source Factors'!$K$31</f>
        <v>1.1022927689594356E-3</v>
      </c>
      <c r="I94" s="148" t="str">
        <f t="shared" si="6"/>
        <v/>
      </c>
      <c r="J94" s="144">
        <f>'3b. Mobile Source Factors'!$K$44</f>
        <v>4.8500881834215163E-4</v>
      </c>
      <c r="K94" s="145" t="str">
        <f t="shared" si="7"/>
        <v/>
      </c>
      <c r="L94" s="141">
        <f t="shared" si="10"/>
        <v>0</v>
      </c>
      <c r="M94" s="141" t="str">
        <f t="shared" si="8"/>
        <v/>
      </c>
      <c r="N94" s="591">
        <f>L94+L95</f>
        <v>0</v>
      </c>
      <c r="O94" s="183"/>
      <c r="P94" s="184"/>
      <c r="Q94" s="190"/>
      <c r="S94" s="136"/>
      <c r="T94" s="136"/>
    </row>
    <row r="95" spans="1:63" s="156" customFormat="1" ht="15" thickTop="1" thickBot="1" x14ac:dyDescent="0.2">
      <c r="A95" s="605"/>
      <c r="B95" s="171"/>
      <c r="C95" s="161" t="s">
        <v>2</v>
      </c>
      <c r="D95" s="162" t="s">
        <v>0</v>
      </c>
      <c r="E95" s="174"/>
      <c r="F95" s="151">
        <f>'3b. Mobile Source Factors'!$K$8</f>
        <v>22.513050000000003</v>
      </c>
      <c r="G95" s="152" t="str">
        <f t="shared" si="9"/>
        <v/>
      </c>
      <c r="H95" s="158">
        <f>'3b. Mobile Source Factors'!$K$34</f>
        <v>1.7636684303350969E-3</v>
      </c>
      <c r="I95" s="154" t="str">
        <f t="shared" si="6"/>
        <v/>
      </c>
      <c r="J95" s="153">
        <f>'3b. Mobile Source Factors'!$K$47</f>
        <v>5.7319223985890654E-4</v>
      </c>
      <c r="K95" s="155" t="str">
        <f t="shared" si="7"/>
        <v/>
      </c>
      <c r="L95" s="152">
        <f t="shared" si="10"/>
        <v>0</v>
      </c>
      <c r="M95" s="152" t="str">
        <f t="shared" si="8"/>
        <v/>
      </c>
      <c r="N95" s="592"/>
      <c r="O95" s="180"/>
      <c r="P95" s="181"/>
      <c r="Q95" s="182"/>
      <c r="R95" s="94"/>
      <c r="S95" s="136"/>
      <c r="T95" s="136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</row>
    <row r="96" spans="1:63" ht="15" thickTop="1" thickBot="1" x14ac:dyDescent="0.2">
      <c r="A96" s="605">
        <f>A55</f>
        <v>6</v>
      </c>
      <c r="B96" s="172"/>
      <c r="C96" s="159" t="s">
        <v>1</v>
      </c>
      <c r="D96" s="160" t="s">
        <v>0</v>
      </c>
      <c r="E96" s="175"/>
      <c r="F96" s="157">
        <f>'3b. Mobile Source Factors'!$K$7</f>
        <v>19.3599</v>
      </c>
      <c r="G96" s="141" t="str">
        <f t="shared" si="9"/>
        <v/>
      </c>
      <c r="H96" s="142">
        <f>'3b. Mobile Source Factors'!$K$31</f>
        <v>1.1022927689594356E-3</v>
      </c>
      <c r="I96" s="148" t="str">
        <f t="shared" ref="I96:I103" si="11">IF(E96&gt;0, E96*H96*$I$8/2000, "")</f>
        <v/>
      </c>
      <c r="J96" s="144">
        <f>'3b. Mobile Source Factors'!$K$44</f>
        <v>4.8500881834215163E-4</v>
      </c>
      <c r="K96" s="145" t="str">
        <f t="shared" ref="K96:K103" si="12">IF(E96&gt;0, E96*J96*$I$9/2000, "")</f>
        <v/>
      </c>
      <c r="L96" s="141">
        <f t="shared" si="10"/>
        <v>0</v>
      </c>
      <c r="M96" s="141" t="str">
        <f t="shared" ref="M96:M103" si="13">IF(E96&gt;0, (G96/(G96+I96+K96))*100, "")</f>
        <v/>
      </c>
      <c r="N96" s="591">
        <f>L96+L97</f>
        <v>0</v>
      </c>
      <c r="O96" s="183"/>
      <c r="P96" s="184"/>
      <c r="Q96" s="190"/>
      <c r="S96" s="136"/>
      <c r="T96" s="136"/>
    </row>
    <row r="97" spans="1:63" s="156" customFormat="1" ht="15" thickTop="1" thickBot="1" x14ac:dyDescent="0.2">
      <c r="A97" s="605"/>
      <c r="B97" s="171"/>
      <c r="C97" s="161" t="s">
        <v>2</v>
      </c>
      <c r="D97" s="162" t="s">
        <v>0</v>
      </c>
      <c r="E97" s="174"/>
      <c r="F97" s="151">
        <f>'3b. Mobile Source Factors'!$K$8</f>
        <v>22.513050000000003</v>
      </c>
      <c r="G97" s="152" t="str">
        <f t="shared" ref="G97:G103" si="14">IF(E97&gt;0, E97*F97/2000, "")</f>
        <v/>
      </c>
      <c r="H97" s="158">
        <f>'3b. Mobile Source Factors'!$K$34</f>
        <v>1.7636684303350969E-3</v>
      </c>
      <c r="I97" s="154" t="str">
        <f t="shared" si="11"/>
        <v/>
      </c>
      <c r="J97" s="153">
        <f>'3b. Mobile Source Factors'!$K$47</f>
        <v>5.7319223985890654E-4</v>
      </c>
      <c r="K97" s="155" t="str">
        <f t="shared" si="12"/>
        <v/>
      </c>
      <c r="L97" s="152">
        <f t="shared" si="10"/>
        <v>0</v>
      </c>
      <c r="M97" s="152" t="str">
        <f t="shared" si="13"/>
        <v/>
      </c>
      <c r="N97" s="592"/>
      <c r="O97" s="180"/>
      <c r="P97" s="181"/>
      <c r="Q97" s="182"/>
      <c r="R97" s="94"/>
      <c r="S97" s="136"/>
      <c r="T97" s="136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</row>
    <row r="98" spans="1:63" ht="15" thickTop="1" thickBot="1" x14ac:dyDescent="0.2">
      <c r="A98" s="605">
        <f>A61</f>
        <v>7</v>
      </c>
      <c r="B98" s="172"/>
      <c r="C98" s="159" t="s">
        <v>1</v>
      </c>
      <c r="D98" s="160" t="s">
        <v>0</v>
      </c>
      <c r="E98" s="175"/>
      <c r="F98" s="157">
        <f>'3b. Mobile Source Factors'!$K$7</f>
        <v>19.3599</v>
      </c>
      <c r="G98" s="141" t="str">
        <f t="shared" si="14"/>
        <v/>
      </c>
      <c r="H98" s="142">
        <f>'3b. Mobile Source Factors'!$K$31</f>
        <v>1.1022927689594356E-3</v>
      </c>
      <c r="I98" s="148" t="str">
        <f t="shared" si="11"/>
        <v/>
      </c>
      <c r="J98" s="144">
        <f>'3b. Mobile Source Factors'!$K$44</f>
        <v>4.8500881834215163E-4</v>
      </c>
      <c r="K98" s="145" t="str">
        <f t="shared" si="12"/>
        <v/>
      </c>
      <c r="L98" s="141">
        <f t="shared" si="10"/>
        <v>0</v>
      </c>
      <c r="M98" s="141" t="str">
        <f t="shared" si="13"/>
        <v/>
      </c>
      <c r="N98" s="591">
        <f>L98+L99</f>
        <v>0</v>
      </c>
      <c r="O98" s="183"/>
      <c r="P98" s="184"/>
      <c r="Q98" s="190"/>
      <c r="S98" s="136"/>
      <c r="T98" s="136"/>
    </row>
    <row r="99" spans="1:63" s="156" customFormat="1" ht="15" thickTop="1" thickBot="1" x14ac:dyDescent="0.2">
      <c r="A99" s="605"/>
      <c r="B99" s="171"/>
      <c r="C99" s="161" t="s">
        <v>2</v>
      </c>
      <c r="D99" s="162" t="s">
        <v>0</v>
      </c>
      <c r="E99" s="174"/>
      <c r="F99" s="151">
        <f>'3b. Mobile Source Factors'!$K$8</f>
        <v>22.513050000000003</v>
      </c>
      <c r="G99" s="152" t="str">
        <f t="shared" si="14"/>
        <v/>
      </c>
      <c r="H99" s="158">
        <f>'3b. Mobile Source Factors'!$K$34</f>
        <v>1.7636684303350969E-3</v>
      </c>
      <c r="I99" s="154" t="str">
        <f t="shared" si="11"/>
        <v/>
      </c>
      <c r="J99" s="153">
        <f>'3b. Mobile Source Factors'!$K$47</f>
        <v>5.7319223985890654E-4</v>
      </c>
      <c r="K99" s="155" t="str">
        <f t="shared" si="12"/>
        <v/>
      </c>
      <c r="L99" s="152">
        <f t="shared" si="10"/>
        <v>0</v>
      </c>
      <c r="M99" s="152" t="str">
        <f t="shared" si="13"/>
        <v/>
      </c>
      <c r="N99" s="592"/>
      <c r="O99" s="180"/>
      <c r="P99" s="181"/>
      <c r="Q99" s="182"/>
      <c r="R99" s="94"/>
      <c r="S99" s="136"/>
      <c r="T99" s="136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</row>
    <row r="100" spans="1:63" ht="15" thickTop="1" thickBot="1" x14ac:dyDescent="0.2">
      <c r="A100" s="605">
        <f>A67</f>
        <v>8</v>
      </c>
      <c r="B100" s="172"/>
      <c r="C100" s="159" t="s">
        <v>1</v>
      </c>
      <c r="D100" s="160" t="s">
        <v>0</v>
      </c>
      <c r="E100" s="175"/>
      <c r="F100" s="157">
        <f>'3b. Mobile Source Factors'!$K$7</f>
        <v>19.3599</v>
      </c>
      <c r="G100" s="141" t="str">
        <f t="shared" si="14"/>
        <v/>
      </c>
      <c r="H100" s="142">
        <f>'3b. Mobile Source Factors'!$K$31</f>
        <v>1.1022927689594356E-3</v>
      </c>
      <c r="I100" s="148" t="str">
        <f t="shared" si="11"/>
        <v/>
      </c>
      <c r="J100" s="144">
        <f>'3b. Mobile Source Factors'!$K$44</f>
        <v>4.8500881834215163E-4</v>
      </c>
      <c r="K100" s="145" t="str">
        <f t="shared" si="12"/>
        <v/>
      </c>
      <c r="L100" s="141">
        <f t="shared" si="10"/>
        <v>0</v>
      </c>
      <c r="M100" s="141" t="str">
        <f t="shared" si="13"/>
        <v/>
      </c>
      <c r="N100" s="591">
        <f>L100+L101</f>
        <v>0</v>
      </c>
      <c r="O100" s="183"/>
      <c r="P100" s="184"/>
      <c r="Q100" s="190"/>
      <c r="S100" s="136"/>
      <c r="T100" s="136"/>
    </row>
    <row r="101" spans="1:63" s="156" customFormat="1" ht="15" thickTop="1" thickBot="1" x14ac:dyDescent="0.2">
      <c r="A101" s="605"/>
      <c r="B101" s="171"/>
      <c r="C101" s="161" t="s">
        <v>2</v>
      </c>
      <c r="D101" s="162" t="s">
        <v>0</v>
      </c>
      <c r="E101" s="174"/>
      <c r="F101" s="151">
        <f>'3b. Mobile Source Factors'!$K$8</f>
        <v>22.513050000000003</v>
      </c>
      <c r="G101" s="152" t="str">
        <f t="shared" si="14"/>
        <v/>
      </c>
      <c r="H101" s="158">
        <f>'3b. Mobile Source Factors'!$K$34</f>
        <v>1.7636684303350969E-3</v>
      </c>
      <c r="I101" s="154" t="str">
        <f t="shared" si="11"/>
        <v/>
      </c>
      <c r="J101" s="153">
        <f>'3b. Mobile Source Factors'!$K$47</f>
        <v>5.7319223985890654E-4</v>
      </c>
      <c r="K101" s="155" t="str">
        <f t="shared" si="12"/>
        <v/>
      </c>
      <c r="L101" s="152">
        <f t="shared" si="10"/>
        <v>0</v>
      </c>
      <c r="M101" s="152" t="str">
        <f t="shared" si="13"/>
        <v/>
      </c>
      <c r="N101" s="592"/>
      <c r="O101" s="180"/>
      <c r="P101" s="181"/>
      <c r="Q101" s="182"/>
      <c r="R101" s="94"/>
      <c r="S101" s="136"/>
      <c r="T101" s="136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</row>
    <row r="102" spans="1:63" ht="15" thickTop="1" thickBot="1" x14ac:dyDescent="0.2">
      <c r="A102" s="605">
        <f>A73</f>
        <v>9</v>
      </c>
      <c r="B102" s="172"/>
      <c r="C102" s="159" t="s">
        <v>1</v>
      </c>
      <c r="D102" s="160" t="s">
        <v>0</v>
      </c>
      <c r="E102" s="175"/>
      <c r="F102" s="157">
        <f>'3b. Mobile Source Factors'!$K$7</f>
        <v>19.3599</v>
      </c>
      <c r="G102" s="141" t="str">
        <f t="shared" si="14"/>
        <v/>
      </c>
      <c r="H102" s="142">
        <f>'3b. Mobile Source Factors'!$K$31</f>
        <v>1.1022927689594356E-3</v>
      </c>
      <c r="I102" s="148" t="str">
        <f t="shared" si="11"/>
        <v/>
      </c>
      <c r="J102" s="144">
        <f>'3b. Mobile Source Factors'!$K$44</f>
        <v>4.8500881834215163E-4</v>
      </c>
      <c r="K102" s="145" t="str">
        <f t="shared" si="12"/>
        <v/>
      </c>
      <c r="L102" s="141">
        <f t="shared" si="10"/>
        <v>0</v>
      </c>
      <c r="M102" s="141" t="str">
        <f t="shared" si="13"/>
        <v/>
      </c>
      <c r="N102" s="591">
        <f>L102+L103</f>
        <v>0</v>
      </c>
      <c r="O102" s="183"/>
      <c r="P102" s="184"/>
      <c r="Q102" s="190"/>
      <c r="S102" s="136"/>
      <c r="T102" s="136"/>
    </row>
    <row r="103" spans="1:63" s="156" customFormat="1" ht="15" thickTop="1" thickBot="1" x14ac:dyDescent="0.2">
      <c r="A103" s="605"/>
      <c r="B103" s="171"/>
      <c r="C103" s="161" t="s">
        <v>2</v>
      </c>
      <c r="D103" s="162" t="s">
        <v>0</v>
      </c>
      <c r="E103" s="174"/>
      <c r="F103" s="151">
        <f>'3b. Mobile Source Factors'!$K$8</f>
        <v>22.513050000000003</v>
      </c>
      <c r="G103" s="152" t="str">
        <f t="shared" si="14"/>
        <v/>
      </c>
      <c r="H103" s="158">
        <f>'3b. Mobile Source Factors'!$K$34</f>
        <v>1.7636684303350969E-3</v>
      </c>
      <c r="I103" s="154" t="str">
        <f t="shared" si="11"/>
        <v/>
      </c>
      <c r="J103" s="153">
        <f>'3b. Mobile Source Factors'!$K$47</f>
        <v>5.7319223985890654E-4</v>
      </c>
      <c r="K103" s="155" t="str">
        <f t="shared" si="12"/>
        <v/>
      </c>
      <c r="L103" s="152">
        <f t="shared" si="10"/>
        <v>0</v>
      </c>
      <c r="M103" s="152" t="str">
        <f t="shared" si="13"/>
        <v/>
      </c>
      <c r="N103" s="592"/>
      <c r="O103" s="180"/>
      <c r="P103" s="181"/>
      <c r="Q103" s="182"/>
      <c r="R103" s="94"/>
      <c r="S103" s="136"/>
      <c r="T103" s="136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</row>
    <row r="104" spans="1:63" ht="15" thickTop="1" thickBot="1" x14ac:dyDescent="0.2">
      <c r="A104" s="605">
        <f>A79</f>
        <v>10</v>
      </c>
      <c r="B104" s="170"/>
      <c r="C104" s="159" t="s">
        <v>1</v>
      </c>
      <c r="D104" s="160" t="s">
        <v>0</v>
      </c>
      <c r="E104" s="173"/>
      <c r="F104" s="140">
        <f>'3b. Mobile Source Factors'!$K$7</f>
        <v>19.3599</v>
      </c>
      <c r="G104" s="141" t="str">
        <f>IF(E104&gt;0, E104*F104/2000, "")</f>
        <v/>
      </c>
      <c r="H104" s="142">
        <f>'3b. Mobile Source Factors'!$K$31</f>
        <v>1.1022927689594356E-3</v>
      </c>
      <c r="I104" s="148" t="str">
        <f>IF(E104&gt;0, E104*H104*$I$8/2000, "")</f>
        <v/>
      </c>
      <c r="J104" s="144">
        <f>'3b. Mobile Source Factors'!$K$44</f>
        <v>4.8500881834215163E-4</v>
      </c>
      <c r="K104" s="145" t="str">
        <f>IF(E104&gt;0, E104*J104*$I$9/2000, "")</f>
        <v/>
      </c>
      <c r="L104" s="141">
        <f t="shared" si="10"/>
        <v>0</v>
      </c>
      <c r="M104" s="141" t="str">
        <f>IF(E104&gt;0, (G104/(G104+I104+K104))*100, "")</f>
        <v/>
      </c>
      <c r="N104" s="591">
        <f>L104+L105</f>
        <v>0</v>
      </c>
      <c r="O104" s="176"/>
      <c r="P104" s="184"/>
      <c r="Q104" s="190"/>
      <c r="S104" s="136"/>
      <c r="T104" s="136"/>
    </row>
    <row r="105" spans="1:63" s="156" customFormat="1" ht="15" thickTop="1" thickBot="1" x14ac:dyDescent="0.2">
      <c r="A105" s="605"/>
      <c r="B105" s="171"/>
      <c r="C105" s="161" t="s">
        <v>2</v>
      </c>
      <c r="D105" s="150" t="s">
        <v>0</v>
      </c>
      <c r="E105" s="174"/>
      <c r="F105" s="151">
        <f>'3b. Mobile Source Factors'!$K$8</f>
        <v>22.513050000000003</v>
      </c>
      <c r="G105" s="152" t="str">
        <f>IF(E105&gt;0, E105*F105/2000, "")</f>
        <v/>
      </c>
      <c r="H105" s="158">
        <f>'3b. Mobile Source Factors'!$K$34</f>
        <v>1.7636684303350969E-3</v>
      </c>
      <c r="I105" s="154" t="str">
        <f>IF(E105&gt;0, E105*H105*$I$8/2000, "")</f>
        <v/>
      </c>
      <c r="J105" s="153">
        <f>'3b. Mobile Source Factors'!$K$47</f>
        <v>5.7319223985890654E-4</v>
      </c>
      <c r="K105" s="155" t="str">
        <f>IF(E105&gt;0, E105*J105*$I$9/2000, "")</f>
        <v/>
      </c>
      <c r="L105" s="152">
        <f t="shared" si="10"/>
        <v>0</v>
      </c>
      <c r="M105" s="152" t="str">
        <f>IF(E105&gt;0, (G105/(G105+I105+K105))*100, "")</f>
        <v/>
      </c>
      <c r="N105" s="592"/>
      <c r="O105" s="180"/>
      <c r="P105" s="181"/>
      <c r="Q105" s="182"/>
      <c r="R105" s="94"/>
      <c r="S105" s="136"/>
      <c r="T105" s="136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</row>
    <row r="106" spans="1:63" s="77" customFormat="1" ht="15" thickTop="1" thickBot="1" x14ac:dyDescent="0.2">
      <c r="A106" s="620" t="s">
        <v>5</v>
      </c>
      <c r="B106" s="620"/>
      <c r="C106" s="620"/>
      <c r="D106" s="620"/>
      <c r="E106" s="620"/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621"/>
      <c r="Q106" s="621"/>
      <c r="R106" s="94"/>
      <c r="S106" s="136"/>
      <c r="T106" s="136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</row>
    <row r="107" spans="1:63" ht="14" thickTop="1" x14ac:dyDescent="0.15">
      <c r="A107" s="607">
        <f>A86</f>
        <v>1</v>
      </c>
      <c r="B107" s="172"/>
      <c r="C107" s="159" t="s">
        <v>2</v>
      </c>
      <c r="D107" s="160" t="s">
        <v>0</v>
      </c>
      <c r="E107" s="175"/>
      <c r="F107" s="157">
        <f>'3b. Mobile Source Factors'!$K$8</f>
        <v>22.513050000000003</v>
      </c>
      <c r="G107" s="141" t="str">
        <f>IF(E107&gt;0, E107*F107/2000, "")</f>
        <v/>
      </c>
      <c r="H107" s="142">
        <f>'3b. Mobile Source Factors'!$K$35</f>
        <v>1.3227513227513226E-4</v>
      </c>
      <c r="I107" s="148" t="str">
        <f>IF(E107&gt;0, E107*H107*$I$8/2000, "")</f>
        <v/>
      </c>
      <c r="J107" s="144">
        <f>'3b. Mobile Source Factors'!$K$48</f>
        <v>9.9206349206349201E-4</v>
      </c>
      <c r="K107" s="145" t="str">
        <f>IF(E107&gt;0, E107*J107*$I$9/2000, "")</f>
        <v/>
      </c>
      <c r="L107" s="141" t="str">
        <f>IF(E107&gt;0, (G107+I107+K107), "")</f>
        <v/>
      </c>
      <c r="M107" s="141" t="str">
        <f>IF(E107&gt;0, (G107/(G107+I107+K107))*100, "")</f>
        <v/>
      </c>
      <c r="N107" s="591">
        <f>SUM(L107:L108)</f>
        <v>0</v>
      </c>
      <c r="O107" s="183"/>
      <c r="P107" s="186"/>
      <c r="Q107" s="187"/>
      <c r="S107" s="136"/>
      <c r="T107" s="137"/>
    </row>
    <row r="108" spans="1:63" s="156" customFormat="1" ht="14" thickBot="1" x14ac:dyDescent="0.2">
      <c r="A108" s="606"/>
      <c r="B108" s="171"/>
      <c r="C108" s="149" t="s">
        <v>3</v>
      </c>
      <c r="D108" s="150" t="s">
        <v>0</v>
      </c>
      <c r="E108" s="174"/>
      <c r="F108" s="151">
        <f>'3b. Mobile Source Factors'!$K$12</f>
        <v>22.513050000000003</v>
      </c>
      <c r="G108" s="152" t="str">
        <f>IF(E108&gt;0, E108*F108/2000, "")</f>
        <v/>
      </c>
      <c r="H108" s="158">
        <f>'3b. Mobile Source Factors'!$K$36</f>
        <v>2.4250440917107581E-4</v>
      </c>
      <c r="I108" s="154" t="str">
        <f>IF(E108&gt;0, E108*H108*$I$8/2000, "")</f>
        <v/>
      </c>
      <c r="J108" s="153">
        <f>'3b. Mobile Source Factors'!$K$49</f>
        <v>1.3227513227513227E-3</v>
      </c>
      <c r="K108" s="155" t="str">
        <f>IF(E108&gt;0, E108*J108*$I$9/2000, "")</f>
        <v/>
      </c>
      <c r="L108" s="152" t="str">
        <f>IF(E108&gt;0, (G108+I108+K108), "")</f>
        <v/>
      </c>
      <c r="M108" s="152" t="str">
        <f>IF(E108&gt;0, (G108/(G108+I108+K108))*100, "")</f>
        <v/>
      </c>
      <c r="N108" s="592"/>
      <c r="O108" s="180"/>
      <c r="P108" s="181"/>
      <c r="Q108" s="182"/>
      <c r="R108" s="94"/>
      <c r="S108" s="136"/>
      <c r="T108" s="137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</row>
    <row r="109" spans="1:63" ht="14" thickTop="1" x14ac:dyDescent="0.15">
      <c r="A109" s="607">
        <f>A88</f>
        <v>2</v>
      </c>
      <c r="B109" s="172"/>
      <c r="C109" s="159" t="s">
        <v>2</v>
      </c>
      <c r="D109" s="160" t="s">
        <v>0</v>
      </c>
      <c r="E109" s="175"/>
      <c r="F109" s="157">
        <f>'3b. Mobile Source Factors'!$K$8</f>
        <v>22.513050000000003</v>
      </c>
      <c r="G109" s="141" t="str">
        <f>IF(E109&gt;0, E109*F109/2000, "")</f>
        <v/>
      </c>
      <c r="H109" s="142">
        <f>'3b. Mobile Source Factors'!$K$35</f>
        <v>1.3227513227513226E-4</v>
      </c>
      <c r="I109" s="148" t="str">
        <f>IF(E109&gt;0, E109*H109*$I$8/2000, "")</f>
        <v/>
      </c>
      <c r="J109" s="144">
        <f>'3b. Mobile Source Factors'!$K$48</f>
        <v>9.9206349206349201E-4</v>
      </c>
      <c r="K109" s="145" t="str">
        <f>IF(E109&gt;0, E109*J109*$I$9/2000, "")</f>
        <v/>
      </c>
      <c r="L109" s="141" t="str">
        <f>IF(E109&gt;0, G109+I109+K109, "")</f>
        <v/>
      </c>
      <c r="M109" s="141" t="str">
        <f>IF(E109&gt;0, (G109/(G109+I109+K109))*100, "")</f>
        <v/>
      </c>
      <c r="N109" s="591">
        <f>SUM(L109:L110)</f>
        <v>0</v>
      </c>
      <c r="O109" s="183"/>
      <c r="P109" s="184"/>
      <c r="Q109" s="190"/>
      <c r="S109" s="136"/>
      <c r="T109" s="137"/>
    </row>
    <row r="110" spans="1:63" s="156" customFormat="1" ht="14" thickBot="1" x14ac:dyDescent="0.2">
      <c r="A110" s="606"/>
      <c r="B110" s="171"/>
      <c r="C110" s="149" t="s">
        <v>3</v>
      </c>
      <c r="D110" s="150" t="s">
        <v>0</v>
      </c>
      <c r="E110" s="174"/>
      <c r="F110" s="151">
        <f>'3b. Mobile Source Factors'!$K$12</f>
        <v>22.513050000000003</v>
      </c>
      <c r="G110" s="152" t="str">
        <f>IF(E110&gt;0, E110*F110/2000, "")</f>
        <v/>
      </c>
      <c r="H110" s="158">
        <f>'3b. Mobile Source Factors'!$K$36</f>
        <v>2.4250440917107581E-4</v>
      </c>
      <c r="I110" s="154" t="str">
        <f>IF(E110&gt;0, E110*H110*$I$8/2000, "")</f>
        <v/>
      </c>
      <c r="J110" s="153">
        <f>'3b. Mobile Source Factors'!$K$49</f>
        <v>1.3227513227513227E-3</v>
      </c>
      <c r="K110" s="155" t="str">
        <f>IF(E110&gt;0, E110*J110*$I$9/2000, "")</f>
        <v/>
      </c>
      <c r="L110" s="152" t="str">
        <f>IF(E110&gt;0, G110+I110+K110, "")</f>
        <v/>
      </c>
      <c r="M110" s="152" t="str">
        <f>IF(E110&gt;0, (G110/(G110+I110+K110))*100, "")</f>
        <v/>
      </c>
      <c r="N110" s="592"/>
      <c r="O110" s="180"/>
      <c r="P110" s="181"/>
      <c r="Q110" s="182"/>
      <c r="R110" s="94"/>
      <c r="S110" s="136"/>
      <c r="T110" s="137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</row>
    <row r="111" spans="1:63" ht="14" thickTop="1" x14ac:dyDescent="0.15">
      <c r="A111" s="607">
        <f>A90</f>
        <v>3</v>
      </c>
      <c r="B111" s="172"/>
      <c r="C111" s="159" t="s">
        <v>2</v>
      </c>
      <c r="D111" s="160" t="s">
        <v>0</v>
      </c>
      <c r="E111" s="175"/>
      <c r="F111" s="157">
        <f>'3b. Mobile Source Factors'!$K$8</f>
        <v>22.513050000000003</v>
      </c>
      <c r="G111" s="141" t="str">
        <f t="shared" ref="G111:G126" si="15">IF(E111&gt;0, E111*F111/2000, "")</f>
        <v/>
      </c>
      <c r="H111" s="142">
        <f>'3b. Mobile Source Factors'!$K$35</f>
        <v>1.3227513227513226E-4</v>
      </c>
      <c r="I111" s="148" t="str">
        <f t="shared" ref="I111:I126" si="16">IF(E111&gt;0, E111*H111*$I$8/2000, "")</f>
        <v/>
      </c>
      <c r="J111" s="144">
        <f>'3b. Mobile Source Factors'!$K$48</f>
        <v>9.9206349206349201E-4</v>
      </c>
      <c r="K111" s="145" t="str">
        <f t="shared" ref="K111:K126" si="17">IF(E111&gt;0, E111*J111*$I$9/2000, "")</f>
        <v/>
      </c>
      <c r="L111" s="141" t="str">
        <f t="shared" ref="L111:L126" si="18">IF(E111&gt;0, G111+I111+K111, "")</f>
        <v/>
      </c>
      <c r="M111" s="141" t="str">
        <f t="shared" ref="M111:M126" si="19">IF(E111&gt;0, (G111/(G111+I111+K111))*100, "")</f>
        <v/>
      </c>
      <c r="N111" s="591">
        <f>SUM(L111:L112)</f>
        <v>0</v>
      </c>
      <c r="O111" s="183"/>
      <c r="P111" s="184"/>
      <c r="Q111" s="190"/>
      <c r="S111" s="136"/>
      <c r="T111" s="137"/>
    </row>
    <row r="112" spans="1:63" s="156" customFormat="1" ht="14" thickBot="1" x14ac:dyDescent="0.2">
      <c r="A112" s="606"/>
      <c r="B112" s="171"/>
      <c r="C112" s="149" t="s">
        <v>3</v>
      </c>
      <c r="D112" s="150" t="s">
        <v>0</v>
      </c>
      <c r="E112" s="174"/>
      <c r="F112" s="151">
        <f>'3b. Mobile Source Factors'!$K$12</f>
        <v>22.513050000000003</v>
      </c>
      <c r="G112" s="152" t="str">
        <f t="shared" si="15"/>
        <v/>
      </c>
      <c r="H112" s="158">
        <f>'3b. Mobile Source Factors'!$K$36</f>
        <v>2.4250440917107581E-4</v>
      </c>
      <c r="I112" s="154" t="str">
        <f t="shared" si="16"/>
        <v/>
      </c>
      <c r="J112" s="153">
        <f>'3b. Mobile Source Factors'!$K$49</f>
        <v>1.3227513227513227E-3</v>
      </c>
      <c r="K112" s="155" t="str">
        <f t="shared" si="17"/>
        <v/>
      </c>
      <c r="L112" s="152" t="str">
        <f t="shared" si="18"/>
        <v/>
      </c>
      <c r="M112" s="152" t="str">
        <f t="shared" si="19"/>
        <v/>
      </c>
      <c r="N112" s="592"/>
      <c r="O112" s="180"/>
      <c r="P112" s="181"/>
      <c r="Q112" s="182"/>
      <c r="R112" s="94"/>
      <c r="S112" s="136"/>
      <c r="T112" s="137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</row>
    <row r="113" spans="1:63" ht="14" thickTop="1" x14ac:dyDescent="0.15">
      <c r="A113" s="607">
        <f>A92</f>
        <v>4</v>
      </c>
      <c r="B113" s="172"/>
      <c r="C113" s="159" t="s">
        <v>2</v>
      </c>
      <c r="D113" s="160" t="s">
        <v>0</v>
      </c>
      <c r="E113" s="175"/>
      <c r="F113" s="157">
        <f>'3b. Mobile Source Factors'!$K$8</f>
        <v>22.513050000000003</v>
      </c>
      <c r="G113" s="141" t="str">
        <f t="shared" si="15"/>
        <v/>
      </c>
      <c r="H113" s="142">
        <f>'3b. Mobile Source Factors'!$K$35</f>
        <v>1.3227513227513226E-4</v>
      </c>
      <c r="I113" s="148" t="str">
        <f t="shared" si="16"/>
        <v/>
      </c>
      <c r="J113" s="144">
        <f>'3b. Mobile Source Factors'!$K$48</f>
        <v>9.9206349206349201E-4</v>
      </c>
      <c r="K113" s="145" t="str">
        <f t="shared" si="17"/>
        <v/>
      </c>
      <c r="L113" s="141" t="str">
        <f t="shared" si="18"/>
        <v/>
      </c>
      <c r="M113" s="141" t="str">
        <f t="shared" si="19"/>
        <v/>
      </c>
      <c r="N113" s="591">
        <f>SUM(L113:L114)</f>
        <v>0</v>
      </c>
      <c r="O113" s="183"/>
      <c r="P113" s="184"/>
      <c r="Q113" s="190"/>
      <c r="S113" s="136"/>
      <c r="T113" s="137"/>
    </row>
    <row r="114" spans="1:63" s="156" customFormat="1" ht="14" thickBot="1" x14ac:dyDescent="0.2">
      <c r="A114" s="606"/>
      <c r="B114" s="171"/>
      <c r="C114" s="149" t="s">
        <v>3</v>
      </c>
      <c r="D114" s="150" t="s">
        <v>0</v>
      </c>
      <c r="E114" s="174"/>
      <c r="F114" s="151">
        <f>'3b. Mobile Source Factors'!$K$12</f>
        <v>22.513050000000003</v>
      </c>
      <c r="G114" s="152" t="str">
        <f t="shared" si="15"/>
        <v/>
      </c>
      <c r="H114" s="158">
        <f>'3b. Mobile Source Factors'!$K$36</f>
        <v>2.4250440917107581E-4</v>
      </c>
      <c r="I114" s="154" t="str">
        <f t="shared" si="16"/>
        <v/>
      </c>
      <c r="J114" s="153">
        <f>'3b. Mobile Source Factors'!$K$49</f>
        <v>1.3227513227513227E-3</v>
      </c>
      <c r="K114" s="155" t="str">
        <f t="shared" si="17"/>
        <v/>
      </c>
      <c r="L114" s="152" t="str">
        <f t="shared" si="18"/>
        <v/>
      </c>
      <c r="M114" s="152" t="str">
        <f t="shared" si="19"/>
        <v/>
      </c>
      <c r="N114" s="592"/>
      <c r="O114" s="180"/>
      <c r="P114" s="181"/>
      <c r="Q114" s="182"/>
      <c r="R114" s="94"/>
      <c r="S114" s="136"/>
      <c r="T114" s="137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</row>
    <row r="115" spans="1:63" ht="14" thickTop="1" x14ac:dyDescent="0.15">
      <c r="A115" s="607">
        <f>A94</f>
        <v>5</v>
      </c>
      <c r="B115" s="172"/>
      <c r="C115" s="159" t="s">
        <v>2</v>
      </c>
      <c r="D115" s="160" t="s">
        <v>0</v>
      </c>
      <c r="E115" s="175"/>
      <c r="F115" s="157">
        <f>'3b. Mobile Source Factors'!$K$8</f>
        <v>22.513050000000003</v>
      </c>
      <c r="G115" s="141" t="str">
        <f t="shared" si="15"/>
        <v/>
      </c>
      <c r="H115" s="142">
        <f>'3b. Mobile Source Factors'!$K$35</f>
        <v>1.3227513227513226E-4</v>
      </c>
      <c r="I115" s="148" t="str">
        <f t="shared" si="16"/>
        <v/>
      </c>
      <c r="J115" s="144">
        <f>'3b. Mobile Source Factors'!$K$48</f>
        <v>9.9206349206349201E-4</v>
      </c>
      <c r="K115" s="145" t="str">
        <f t="shared" si="17"/>
        <v/>
      </c>
      <c r="L115" s="141" t="str">
        <f t="shared" si="18"/>
        <v/>
      </c>
      <c r="M115" s="141" t="str">
        <f t="shared" si="19"/>
        <v/>
      </c>
      <c r="N115" s="591">
        <f>SUM(L115:L116)</f>
        <v>0</v>
      </c>
      <c r="O115" s="183"/>
      <c r="P115" s="184"/>
      <c r="Q115" s="190"/>
      <c r="S115" s="136"/>
      <c r="T115" s="137"/>
    </row>
    <row r="116" spans="1:63" s="156" customFormat="1" ht="14" thickBot="1" x14ac:dyDescent="0.2">
      <c r="A116" s="606"/>
      <c r="B116" s="171"/>
      <c r="C116" s="149" t="s">
        <v>3</v>
      </c>
      <c r="D116" s="150" t="s">
        <v>0</v>
      </c>
      <c r="E116" s="174"/>
      <c r="F116" s="151">
        <f>'3b. Mobile Source Factors'!$K$12</f>
        <v>22.513050000000003</v>
      </c>
      <c r="G116" s="152" t="str">
        <f t="shared" si="15"/>
        <v/>
      </c>
      <c r="H116" s="158">
        <f>'3b. Mobile Source Factors'!$K$36</f>
        <v>2.4250440917107581E-4</v>
      </c>
      <c r="I116" s="154" t="str">
        <f t="shared" si="16"/>
        <v/>
      </c>
      <c r="J116" s="153">
        <f>'3b. Mobile Source Factors'!$K$49</f>
        <v>1.3227513227513227E-3</v>
      </c>
      <c r="K116" s="155" t="str">
        <f t="shared" si="17"/>
        <v/>
      </c>
      <c r="L116" s="152" t="str">
        <f t="shared" si="18"/>
        <v/>
      </c>
      <c r="M116" s="152" t="str">
        <f t="shared" si="19"/>
        <v/>
      </c>
      <c r="N116" s="592"/>
      <c r="O116" s="180"/>
      <c r="P116" s="181"/>
      <c r="Q116" s="182"/>
      <c r="R116" s="94"/>
      <c r="S116" s="136"/>
      <c r="T116" s="137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</row>
    <row r="117" spans="1:63" ht="14" thickTop="1" x14ac:dyDescent="0.15">
      <c r="A117" s="607">
        <f>A96</f>
        <v>6</v>
      </c>
      <c r="B117" s="172"/>
      <c r="C117" s="159" t="s">
        <v>2</v>
      </c>
      <c r="D117" s="160" t="s">
        <v>0</v>
      </c>
      <c r="E117" s="175"/>
      <c r="F117" s="157">
        <f>'3b. Mobile Source Factors'!$K$8</f>
        <v>22.513050000000003</v>
      </c>
      <c r="G117" s="141" t="str">
        <f t="shared" si="15"/>
        <v/>
      </c>
      <c r="H117" s="142">
        <f>'3b. Mobile Source Factors'!$K$35</f>
        <v>1.3227513227513226E-4</v>
      </c>
      <c r="I117" s="148" t="str">
        <f t="shared" si="16"/>
        <v/>
      </c>
      <c r="J117" s="144">
        <f>'3b. Mobile Source Factors'!$K$48</f>
        <v>9.9206349206349201E-4</v>
      </c>
      <c r="K117" s="145" t="str">
        <f t="shared" si="17"/>
        <v/>
      </c>
      <c r="L117" s="141" t="str">
        <f t="shared" si="18"/>
        <v/>
      </c>
      <c r="M117" s="141" t="str">
        <f t="shared" si="19"/>
        <v/>
      </c>
      <c r="N117" s="591">
        <f>SUM(L117:L118)</f>
        <v>0</v>
      </c>
      <c r="O117" s="183"/>
      <c r="P117" s="184"/>
      <c r="Q117" s="190"/>
      <c r="S117" s="136"/>
      <c r="T117" s="137"/>
    </row>
    <row r="118" spans="1:63" s="156" customFormat="1" ht="14" thickBot="1" x14ac:dyDescent="0.2">
      <c r="A118" s="606"/>
      <c r="B118" s="171"/>
      <c r="C118" s="149" t="s">
        <v>3</v>
      </c>
      <c r="D118" s="150" t="s">
        <v>0</v>
      </c>
      <c r="E118" s="174"/>
      <c r="F118" s="151">
        <f>'3b. Mobile Source Factors'!$K$12</f>
        <v>22.513050000000003</v>
      </c>
      <c r="G118" s="152" t="str">
        <f t="shared" si="15"/>
        <v/>
      </c>
      <c r="H118" s="158">
        <f>'3b. Mobile Source Factors'!$K$36</f>
        <v>2.4250440917107581E-4</v>
      </c>
      <c r="I118" s="154" t="str">
        <f t="shared" si="16"/>
        <v/>
      </c>
      <c r="J118" s="153">
        <f>'3b. Mobile Source Factors'!$K$49</f>
        <v>1.3227513227513227E-3</v>
      </c>
      <c r="K118" s="155" t="str">
        <f t="shared" si="17"/>
        <v/>
      </c>
      <c r="L118" s="152" t="str">
        <f t="shared" si="18"/>
        <v/>
      </c>
      <c r="M118" s="152" t="str">
        <f t="shared" si="19"/>
        <v/>
      </c>
      <c r="N118" s="592"/>
      <c r="O118" s="180"/>
      <c r="P118" s="181"/>
      <c r="Q118" s="182"/>
      <c r="R118" s="94"/>
      <c r="S118" s="136"/>
      <c r="T118" s="137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</row>
    <row r="119" spans="1:63" ht="14" thickTop="1" x14ac:dyDescent="0.15">
      <c r="A119" s="607">
        <f>A98</f>
        <v>7</v>
      </c>
      <c r="B119" s="172"/>
      <c r="C119" s="159" t="s">
        <v>2</v>
      </c>
      <c r="D119" s="160" t="s">
        <v>0</v>
      </c>
      <c r="E119" s="175"/>
      <c r="F119" s="157">
        <f>'3b. Mobile Source Factors'!$K$8</f>
        <v>22.513050000000003</v>
      </c>
      <c r="G119" s="141" t="str">
        <f t="shared" si="15"/>
        <v/>
      </c>
      <c r="H119" s="142">
        <f>'3b. Mobile Source Factors'!$K$35</f>
        <v>1.3227513227513226E-4</v>
      </c>
      <c r="I119" s="148" t="str">
        <f t="shared" si="16"/>
        <v/>
      </c>
      <c r="J119" s="144">
        <f>'3b. Mobile Source Factors'!$K$48</f>
        <v>9.9206349206349201E-4</v>
      </c>
      <c r="K119" s="145" t="str">
        <f t="shared" si="17"/>
        <v/>
      </c>
      <c r="L119" s="141" t="str">
        <f t="shared" si="18"/>
        <v/>
      </c>
      <c r="M119" s="141" t="str">
        <f t="shared" si="19"/>
        <v/>
      </c>
      <c r="N119" s="591">
        <f>SUM(L119:L120)</f>
        <v>0</v>
      </c>
      <c r="O119" s="183"/>
      <c r="P119" s="184"/>
      <c r="Q119" s="190"/>
      <c r="S119" s="136"/>
      <c r="T119" s="137"/>
    </row>
    <row r="120" spans="1:63" s="156" customFormat="1" ht="14" thickBot="1" x14ac:dyDescent="0.2">
      <c r="A120" s="606"/>
      <c r="B120" s="171"/>
      <c r="C120" s="149" t="s">
        <v>3</v>
      </c>
      <c r="D120" s="150" t="s">
        <v>0</v>
      </c>
      <c r="E120" s="174"/>
      <c r="F120" s="151">
        <f>'3b. Mobile Source Factors'!$K$12</f>
        <v>22.513050000000003</v>
      </c>
      <c r="G120" s="152" t="str">
        <f t="shared" si="15"/>
        <v/>
      </c>
      <c r="H120" s="158">
        <f>'3b. Mobile Source Factors'!$K$36</f>
        <v>2.4250440917107581E-4</v>
      </c>
      <c r="I120" s="154" t="str">
        <f t="shared" si="16"/>
        <v/>
      </c>
      <c r="J120" s="153">
        <f>'3b. Mobile Source Factors'!$K$49</f>
        <v>1.3227513227513227E-3</v>
      </c>
      <c r="K120" s="155" t="str">
        <f t="shared" si="17"/>
        <v/>
      </c>
      <c r="L120" s="152" t="str">
        <f t="shared" si="18"/>
        <v/>
      </c>
      <c r="M120" s="152" t="str">
        <f t="shared" si="19"/>
        <v/>
      </c>
      <c r="N120" s="592"/>
      <c r="O120" s="180"/>
      <c r="P120" s="181"/>
      <c r="Q120" s="182"/>
      <c r="R120" s="94"/>
      <c r="S120" s="136"/>
      <c r="T120" s="137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</row>
    <row r="121" spans="1:63" ht="14" thickTop="1" x14ac:dyDescent="0.15">
      <c r="A121" s="607">
        <f>A100</f>
        <v>8</v>
      </c>
      <c r="B121" s="172"/>
      <c r="C121" s="159" t="s">
        <v>2</v>
      </c>
      <c r="D121" s="160" t="s">
        <v>0</v>
      </c>
      <c r="E121" s="175"/>
      <c r="F121" s="157">
        <f>'3b. Mobile Source Factors'!$K$8</f>
        <v>22.513050000000003</v>
      </c>
      <c r="G121" s="141" t="str">
        <f t="shared" si="15"/>
        <v/>
      </c>
      <c r="H121" s="142">
        <f>'3b. Mobile Source Factors'!$K$35</f>
        <v>1.3227513227513226E-4</v>
      </c>
      <c r="I121" s="148" t="str">
        <f t="shared" si="16"/>
        <v/>
      </c>
      <c r="J121" s="144">
        <f>'3b. Mobile Source Factors'!$K$48</f>
        <v>9.9206349206349201E-4</v>
      </c>
      <c r="K121" s="145" t="str">
        <f t="shared" si="17"/>
        <v/>
      </c>
      <c r="L121" s="141" t="str">
        <f t="shared" si="18"/>
        <v/>
      </c>
      <c r="M121" s="141" t="str">
        <f t="shared" si="19"/>
        <v/>
      </c>
      <c r="N121" s="591">
        <f>SUM(L121:L122)</f>
        <v>0</v>
      </c>
      <c r="O121" s="183"/>
      <c r="P121" s="184"/>
      <c r="Q121" s="190"/>
      <c r="S121" s="136"/>
      <c r="T121" s="137"/>
    </row>
    <row r="122" spans="1:63" s="156" customFormat="1" ht="14" thickBot="1" x14ac:dyDescent="0.2">
      <c r="A122" s="606"/>
      <c r="B122" s="171"/>
      <c r="C122" s="149" t="s">
        <v>3</v>
      </c>
      <c r="D122" s="150" t="s">
        <v>0</v>
      </c>
      <c r="E122" s="174"/>
      <c r="F122" s="151">
        <f>'3b. Mobile Source Factors'!$K$12</f>
        <v>22.513050000000003</v>
      </c>
      <c r="G122" s="152" t="str">
        <f t="shared" si="15"/>
        <v/>
      </c>
      <c r="H122" s="158">
        <f>'3b. Mobile Source Factors'!$K$36</f>
        <v>2.4250440917107581E-4</v>
      </c>
      <c r="I122" s="154" t="str">
        <f t="shared" si="16"/>
        <v/>
      </c>
      <c r="J122" s="153">
        <f>'3b. Mobile Source Factors'!$K$49</f>
        <v>1.3227513227513227E-3</v>
      </c>
      <c r="K122" s="155" t="str">
        <f t="shared" si="17"/>
        <v/>
      </c>
      <c r="L122" s="152" t="str">
        <f t="shared" si="18"/>
        <v/>
      </c>
      <c r="M122" s="152" t="str">
        <f t="shared" si="19"/>
        <v/>
      </c>
      <c r="N122" s="592"/>
      <c r="O122" s="180"/>
      <c r="P122" s="181"/>
      <c r="Q122" s="182"/>
      <c r="R122" s="94"/>
      <c r="S122" s="136"/>
      <c r="T122" s="137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</row>
    <row r="123" spans="1:63" ht="14" thickTop="1" x14ac:dyDescent="0.15">
      <c r="A123" s="607">
        <f>A102</f>
        <v>9</v>
      </c>
      <c r="B123" s="172"/>
      <c r="C123" s="159" t="s">
        <v>2</v>
      </c>
      <c r="D123" s="160" t="s">
        <v>0</v>
      </c>
      <c r="E123" s="175"/>
      <c r="F123" s="157">
        <f>'3b. Mobile Source Factors'!$K$8</f>
        <v>22.513050000000003</v>
      </c>
      <c r="G123" s="141" t="str">
        <f t="shared" si="15"/>
        <v/>
      </c>
      <c r="H123" s="142">
        <f>'3b. Mobile Source Factors'!$K$35</f>
        <v>1.3227513227513226E-4</v>
      </c>
      <c r="I123" s="148" t="str">
        <f t="shared" si="16"/>
        <v/>
      </c>
      <c r="J123" s="144">
        <f>'3b. Mobile Source Factors'!$K$48</f>
        <v>9.9206349206349201E-4</v>
      </c>
      <c r="K123" s="145" t="str">
        <f t="shared" si="17"/>
        <v/>
      </c>
      <c r="L123" s="141" t="str">
        <f t="shared" si="18"/>
        <v/>
      </c>
      <c r="M123" s="141" t="str">
        <f t="shared" si="19"/>
        <v/>
      </c>
      <c r="N123" s="591">
        <f>SUM(L123:L124)</f>
        <v>0</v>
      </c>
      <c r="O123" s="183"/>
      <c r="P123" s="184"/>
      <c r="Q123" s="190"/>
      <c r="S123" s="136"/>
      <c r="T123" s="137"/>
    </row>
    <row r="124" spans="1:63" s="156" customFormat="1" ht="14" thickBot="1" x14ac:dyDescent="0.2">
      <c r="A124" s="606"/>
      <c r="B124" s="171"/>
      <c r="C124" s="149" t="s">
        <v>3</v>
      </c>
      <c r="D124" s="150" t="s">
        <v>0</v>
      </c>
      <c r="E124" s="174"/>
      <c r="F124" s="151">
        <f>'3b. Mobile Source Factors'!$K$12</f>
        <v>22.513050000000003</v>
      </c>
      <c r="G124" s="152" t="str">
        <f t="shared" si="15"/>
        <v/>
      </c>
      <c r="H124" s="158">
        <f>'3b. Mobile Source Factors'!$K$36</f>
        <v>2.4250440917107581E-4</v>
      </c>
      <c r="I124" s="154" t="str">
        <f t="shared" si="16"/>
        <v/>
      </c>
      <c r="J124" s="153">
        <f>'3b. Mobile Source Factors'!$K$49</f>
        <v>1.3227513227513227E-3</v>
      </c>
      <c r="K124" s="155" t="str">
        <f t="shared" si="17"/>
        <v/>
      </c>
      <c r="L124" s="152" t="str">
        <f t="shared" si="18"/>
        <v/>
      </c>
      <c r="M124" s="152" t="str">
        <f t="shared" si="19"/>
        <v/>
      </c>
      <c r="N124" s="592"/>
      <c r="O124" s="180"/>
      <c r="P124" s="181"/>
      <c r="Q124" s="182"/>
      <c r="R124" s="94"/>
      <c r="S124" s="136"/>
      <c r="T124" s="137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</row>
    <row r="125" spans="1:63" ht="14" thickTop="1" x14ac:dyDescent="0.15">
      <c r="A125" s="607">
        <f>A104</f>
        <v>10</v>
      </c>
      <c r="B125" s="172"/>
      <c r="C125" s="159" t="s">
        <v>2</v>
      </c>
      <c r="D125" s="160" t="s">
        <v>0</v>
      </c>
      <c r="E125" s="175"/>
      <c r="F125" s="157">
        <f>'3b. Mobile Source Factors'!$K$8</f>
        <v>22.513050000000003</v>
      </c>
      <c r="G125" s="141" t="str">
        <f t="shared" si="15"/>
        <v/>
      </c>
      <c r="H125" s="142">
        <f>'3b. Mobile Source Factors'!$K$35</f>
        <v>1.3227513227513226E-4</v>
      </c>
      <c r="I125" s="148" t="str">
        <f t="shared" si="16"/>
        <v/>
      </c>
      <c r="J125" s="144">
        <f>'3b. Mobile Source Factors'!$K$48</f>
        <v>9.9206349206349201E-4</v>
      </c>
      <c r="K125" s="145" t="str">
        <f t="shared" si="17"/>
        <v/>
      </c>
      <c r="L125" s="141" t="str">
        <f t="shared" si="18"/>
        <v/>
      </c>
      <c r="M125" s="141" t="str">
        <f t="shared" si="19"/>
        <v/>
      </c>
      <c r="N125" s="591">
        <f>SUM(L125:L126)</f>
        <v>0</v>
      </c>
      <c r="O125" s="183"/>
      <c r="P125" s="184"/>
      <c r="Q125" s="190"/>
      <c r="S125" s="136"/>
      <c r="T125" s="137"/>
    </row>
    <row r="126" spans="1:63" s="156" customFormat="1" ht="14" thickBot="1" x14ac:dyDescent="0.2">
      <c r="A126" s="606"/>
      <c r="B126" s="171"/>
      <c r="C126" s="149" t="s">
        <v>3</v>
      </c>
      <c r="D126" s="150" t="s">
        <v>0</v>
      </c>
      <c r="E126" s="174"/>
      <c r="F126" s="151">
        <f>'3b. Mobile Source Factors'!$K$12</f>
        <v>22.513050000000003</v>
      </c>
      <c r="G126" s="152" t="str">
        <f t="shared" si="15"/>
        <v/>
      </c>
      <c r="H126" s="158">
        <f>'3b. Mobile Source Factors'!$K$36</f>
        <v>2.4250440917107581E-4</v>
      </c>
      <c r="I126" s="154" t="str">
        <f t="shared" si="16"/>
        <v/>
      </c>
      <c r="J126" s="153">
        <f>'3b. Mobile Source Factors'!$K$49</f>
        <v>1.3227513227513227E-3</v>
      </c>
      <c r="K126" s="155" t="str">
        <f t="shared" si="17"/>
        <v/>
      </c>
      <c r="L126" s="152" t="str">
        <f t="shared" si="18"/>
        <v/>
      </c>
      <c r="M126" s="152" t="str">
        <f t="shared" si="19"/>
        <v/>
      </c>
      <c r="N126" s="592"/>
      <c r="O126" s="180"/>
      <c r="P126" s="181"/>
      <c r="Q126" s="182"/>
      <c r="R126" s="94"/>
      <c r="S126" s="136"/>
      <c r="T126" s="137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</row>
    <row r="127" spans="1:63" s="77" customFormat="1" ht="15" thickTop="1" thickBot="1" x14ac:dyDescent="0.2">
      <c r="A127" s="620" t="s">
        <v>6</v>
      </c>
      <c r="B127" s="620"/>
      <c r="C127" s="620"/>
      <c r="D127" s="620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1"/>
      <c r="Q127" s="621"/>
      <c r="R127" s="94"/>
      <c r="S127" s="136"/>
      <c r="T127" s="137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</row>
    <row r="128" spans="1:63" ht="15" thickTop="1" thickBot="1" x14ac:dyDescent="0.2">
      <c r="A128" s="605">
        <f>A107</f>
        <v>1</v>
      </c>
      <c r="B128" s="170"/>
      <c r="C128" s="163" t="s">
        <v>417</v>
      </c>
      <c r="D128" s="160" t="s">
        <v>0</v>
      </c>
      <c r="E128" s="173"/>
      <c r="F128" s="140">
        <f>'3b. Mobile Source Factors'!$K$10</f>
        <v>21.498750000000001</v>
      </c>
      <c r="G128" s="141" t="str">
        <f>IF(E128&gt;0, E128*F128/2000, "")</f>
        <v/>
      </c>
      <c r="H128" s="144">
        <f>'3b. Mobile Source Factors'!$K$37</f>
        <v>5.9523809523809529E-4</v>
      </c>
      <c r="I128" s="148" t="str">
        <f>IF(E128&gt;0, E128*H128*$I$8/2000, "")</f>
        <v/>
      </c>
      <c r="J128" s="144">
        <f>'3b. Mobile Source Factors'!$K$50</f>
        <v>6.8342151675485009E-4</v>
      </c>
      <c r="K128" s="145" t="str">
        <f>IF(E128&gt;0, E128*J128*$I$9/2000, "")</f>
        <v/>
      </c>
      <c r="L128" s="141" t="str">
        <f>IF(E128&gt;0, G128+I128+K128, "")</f>
        <v/>
      </c>
      <c r="M128" s="141" t="str">
        <f>IF(E128&gt;0, (G128/(G128+I128+K128))*100, "")</f>
        <v/>
      </c>
      <c r="N128" s="616">
        <f>SUM(L128:L129)</f>
        <v>0</v>
      </c>
      <c r="O128" s="176"/>
      <c r="P128" s="186"/>
      <c r="Q128" s="187"/>
      <c r="S128" s="136"/>
      <c r="T128" s="137"/>
    </row>
    <row r="129" spans="1:63" s="156" customFormat="1" ht="15" customHeight="1" thickTop="1" thickBot="1" x14ac:dyDescent="0.2">
      <c r="A129" s="605"/>
      <c r="B129" s="171"/>
      <c r="C129" s="164" t="s">
        <v>125</v>
      </c>
      <c r="D129" s="150" t="s">
        <v>0</v>
      </c>
      <c r="E129" s="174"/>
      <c r="F129" s="151">
        <f>'3b. Mobile Source Factors'!$K$9</f>
        <v>18.323550000000001</v>
      </c>
      <c r="G129" s="152" t="str">
        <f>IF(E129&gt;0, E129*F129/2000, "")</f>
        <v/>
      </c>
      <c r="H129" s="165">
        <f>'3b. Mobile Source Factors'!$K$38</f>
        <v>1.5542328042328041E-2</v>
      </c>
      <c r="I129" s="154" t="str">
        <f>IF(E129&gt;0, E129*H129*$I$8/2000, "")</f>
        <v/>
      </c>
      <c r="J129" s="153">
        <f>'3b. Mobile Source Factors'!$K$51</f>
        <v>2.4250440917107581E-4</v>
      </c>
      <c r="K129" s="155" t="str">
        <f>IF(E129&gt;0, E129*J129*$I$9/2000, "")</f>
        <v/>
      </c>
      <c r="L129" s="152" t="str">
        <f>IF(E129&gt;0, G129+I129+K129, "")</f>
        <v/>
      </c>
      <c r="M129" s="152" t="str">
        <f>IF(E129&gt;0, (G129/(G129+I129+K129))*100, "")</f>
        <v/>
      </c>
      <c r="N129" s="606"/>
      <c r="O129" s="180"/>
      <c r="P129" s="181"/>
      <c r="Q129" s="182"/>
      <c r="R129" s="94"/>
      <c r="S129" s="136"/>
      <c r="T129" s="137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</row>
    <row r="130" spans="1:63" ht="15" thickTop="1" thickBot="1" x14ac:dyDescent="0.2">
      <c r="A130" s="605">
        <f>A109</f>
        <v>2</v>
      </c>
      <c r="B130" s="172"/>
      <c r="C130" s="166" t="s">
        <v>417</v>
      </c>
      <c r="D130" s="160" t="s">
        <v>0</v>
      </c>
      <c r="E130" s="175"/>
      <c r="F130" s="157">
        <f>'3b. Mobile Source Factors'!$K$10</f>
        <v>21.498750000000001</v>
      </c>
      <c r="G130" s="141" t="str">
        <f>IF(E130&gt;0, E130*F130/2000, "")</f>
        <v/>
      </c>
      <c r="H130" s="144">
        <f>'3b. Mobile Source Factors'!$K$37</f>
        <v>5.9523809523809529E-4</v>
      </c>
      <c r="I130" s="148" t="str">
        <f>IF(E130&gt;0, E130*H130*$I$8/2000, "")</f>
        <v/>
      </c>
      <c r="J130" s="144">
        <f>'3b. Mobile Source Factors'!$K$50</f>
        <v>6.8342151675485009E-4</v>
      </c>
      <c r="K130" s="145" t="str">
        <f>IF(E130&gt;0, E130*J130*$I$9/2000, "")</f>
        <v/>
      </c>
      <c r="L130" s="141" t="str">
        <f>IF(E130&gt;0, G130+I130+K130, "")</f>
        <v/>
      </c>
      <c r="M130" s="141" t="str">
        <f>IF(E130&gt;0, (G130/(G130+I130+K130))*100, "")</f>
        <v/>
      </c>
      <c r="N130" s="616">
        <f>SUM(L130:L131)</f>
        <v>0</v>
      </c>
      <c r="O130" s="183"/>
      <c r="P130" s="184"/>
      <c r="Q130" s="190"/>
      <c r="S130" s="136"/>
      <c r="T130" s="137"/>
    </row>
    <row r="131" spans="1:63" s="156" customFormat="1" ht="15" customHeight="1" thickTop="1" thickBot="1" x14ac:dyDescent="0.2">
      <c r="A131" s="605"/>
      <c r="B131" s="171"/>
      <c r="C131" s="164" t="s">
        <v>125</v>
      </c>
      <c r="D131" s="150" t="s">
        <v>0</v>
      </c>
      <c r="E131" s="174"/>
      <c r="F131" s="151">
        <f>'3b. Mobile Source Factors'!$K$9</f>
        <v>18.323550000000001</v>
      </c>
      <c r="G131" s="152" t="str">
        <f>IF(E131&gt;0, E131*F131/2000, "")</f>
        <v/>
      </c>
      <c r="H131" s="165">
        <f>'3b. Mobile Source Factors'!$K$38</f>
        <v>1.5542328042328041E-2</v>
      </c>
      <c r="I131" s="154" t="str">
        <f>IF(E131&gt;0, E131*H131*$I$8/2000, "")</f>
        <v/>
      </c>
      <c r="J131" s="153">
        <f>'3b. Mobile Source Factors'!$K$51</f>
        <v>2.4250440917107581E-4</v>
      </c>
      <c r="K131" s="155" t="str">
        <f>IF(E131&gt;0, E131*J131*$I$9/2000, "")</f>
        <v/>
      </c>
      <c r="L131" s="152" t="str">
        <f>IF(E131&gt;0, G131+I131+K131, "")</f>
        <v/>
      </c>
      <c r="M131" s="152" t="str">
        <f>IF(E131&gt;0, (G131/(G131+I131+K131))*100, "")</f>
        <v/>
      </c>
      <c r="N131" s="606"/>
      <c r="O131" s="180"/>
      <c r="P131" s="181"/>
      <c r="Q131" s="182"/>
      <c r="R131" s="94"/>
      <c r="S131" s="136"/>
      <c r="T131" s="137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</row>
    <row r="132" spans="1:63" ht="15" thickTop="1" thickBot="1" x14ac:dyDescent="0.2">
      <c r="A132" s="605">
        <f>A111</f>
        <v>3</v>
      </c>
      <c r="B132" s="170"/>
      <c r="C132" s="163" t="s">
        <v>417</v>
      </c>
      <c r="D132" s="160" t="s">
        <v>0</v>
      </c>
      <c r="E132" s="173"/>
      <c r="F132" s="140">
        <f>'3b. Mobile Source Factors'!$K$10</f>
        <v>21.498750000000001</v>
      </c>
      <c r="G132" s="141" t="str">
        <f t="shared" ref="G132:G147" si="20">IF(E132&gt;0, E132*F132/2000, "")</f>
        <v/>
      </c>
      <c r="H132" s="144">
        <f>'3b. Mobile Source Factors'!$K$37</f>
        <v>5.9523809523809529E-4</v>
      </c>
      <c r="I132" s="148" t="str">
        <f t="shared" ref="I132:I147" si="21">IF(E132&gt;0, E132*H132*$I$8/2000, "")</f>
        <v/>
      </c>
      <c r="J132" s="144">
        <f>'3b. Mobile Source Factors'!$K$50</f>
        <v>6.8342151675485009E-4</v>
      </c>
      <c r="K132" s="145" t="str">
        <f t="shared" ref="K132:K147" si="22">IF(E132&gt;0, E132*J132*$I$9/2000, "")</f>
        <v/>
      </c>
      <c r="L132" s="141" t="str">
        <f t="shared" ref="L132:L147" si="23">IF(E132&gt;0, G132+I132+K132, "")</f>
        <v/>
      </c>
      <c r="M132" s="141" t="str">
        <f t="shared" ref="M132:M147" si="24">IF(E132&gt;0, (G132/(G132+I132+K132))*100, "")</f>
        <v/>
      </c>
      <c r="N132" s="616">
        <f>SUM(L132:L133)</f>
        <v>0</v>
      </c>
      <c r="O132" s="176"/>
      <c r="P132" s="184"/>
      <c r="Q132" s="190"/>
      <c r="S132" s="136"/>
      <c r="T132" s="137"/>
    </row>
    <row r="133" spans="1:63" s="156" customFormat="1" ht="15" customHeight="1" thickTop="1" thickBot="1" x14ac:dyDescent="0.2">
      <c r="A133" s="605"/>
      <c r="B133" s="171"/>
      <c r="C133" s="164" t="s">
        <v>125</v>
      </c>
      <c r="D133" s="150" t="s">
        <v>0</v>
      </c>
      <c r="E133" s="174"/>
      <c r="F133" s="151">
        <f>'3b. Mobile Source Factors'!$K$9</f>
        <v>18.323550000000001</v>
      </c>
      <c r="G133" s="152" t="str">
        <f t="shared" si="20"/>
        <v/>
      </c>
      <c r="H133" s="165">
        <f>'3b. Mobile Source Factors'!$K$38</f>
        <v>1.5542328042328041E-2</v>
      </c>
      <c r="I133" s="154" t="str">
        <f t="shared" si="21"/>
        <v/>
      </c>
      <c r="J133" s="153">
        <f>'3b. Mobile Source Factors'!$K$51</f>
        <v>2.4250440917107581E-4</v>
      </c>
      <c r="K133" s="155" t="str">
        <f t="shared" si="22"/>
        <v/>
      </c>
      <c r="L133" s="152" t="str">
        <f t="shared" si="23"/>
        <v/>
      </c>
      <c r="M133" s="152" t="str">
        <f t="shared" si="24"/>
        <v/>
      </c>
      <c r="N133" s="606"/>
      <c r="O133" s="180"/>
      <c r="P133" s="181"/>
      <c r="Q133" s="182"/>
      <c r="R133" s="94"/>
      <c r="S133" s="136"/>
      <c r="T133" s="137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</row>
    <row r="134" spans="1:63" ht="15" thickTop="1" thickBot="1" x14ac:dyDescent="0.2">
      <c r="A134" s="605">
        <f>A113</f>
        <v>4</v>
      </c>
      <c r="B134" s="172"/>
      <c r="C134" s="166" t="s">
        <v>417</v>
      </c>
      <c r="D134" s="160" t="s">
        <v>0</v>
      </c>
      <c r="E134" s="175"/>
      <c r="F134" s="157">
        <f>'3b. Mobile Source Factors'!$K$10</f>
        <v>21.498750000000001</v>
      </c>
      <c r="G134" s="141" t="str">
        <f t="shared" si="20"/>
        <v/>
      </c>
      <c r="H134" s="144">
        <f>'3b. Mobile Source Factors'!$K$37</f>
        <v>5.9523809523809529E-4</v>
      </c>
      <c r="I134" s="148" t="str">
        <f t="shared" si="21"/>
        <v/>
      </c>
      <c r="J134" s="144">
        <f>'3b. Mobile Source Factors'!$K$50</f>
        <v>6.8342151675485009E-4</v>
      </c>
      <c r="K134" s="145" t="str">
        <f t="shared" si="22"/>
        <v/>
      </c>
      <c r="L134" s="141" t="str">
        <f t="shared" si="23"/>
        <v/>
      </c>
      <c r="M134" s="141" t="str">
        <f t="shared" si="24"/>
        <v/>
      </c>
      <c r="N134" s="616">
        <f>SUM(L134:L135)</f>
        <v>0</v>
      </c>
      <c r="O134" s="183"/>
      <c r="P134" s="184"/>
      <c r="Q134" s="190"/>
      <c r="S134" s="136"/>
      <c r="T134" s="137"/>
    </row>
    <row r="135" spans="1:63" s="156" customFormat="1" ht="15" customHeight="1" thickTop="1" thickBot="1" x14ac:dyDescent="0.2">
      <c r="A135" s="605"/>
      <c r="B135" s="171"/>
      <c r="C135" s="164" t="s">
        <v>125</v>
      </c>
      <c r="D135" s="150" t="s">
        <v>0</v>
      </c>
      <c r="E135" s="174"/>
      <c r="F135" s="151">
        <f>'3b. Mobile Source Factors'!$K$9</f>
        <v>18.323550000000001</v>
      </c>
      <c r="G135" s="152" t="str">
        <f t="shared" si="20"/>
        <v/>
      </c>
      <c r="H135" s="165">
        <f>'3b. Mobile Source Factors'!$K$38</f>
        <v>1.5542328042328041E-2</v>
      </c>
      <c r="I135" s="154" t="str">
        <f t="shared" si="21"/>
        <v/>
      </c>
      <c r="J135" s="153">
        <f>'3b. Mobile Source Factors'!$K$51</f>
        <v>2.4250440917107581E-4</v>
      </c>
      <c r="K135" s="155" t="str">
        <f t="shared" si="22"/>
        <v/>
      </c>
      <c r="L135" s="152" t="str">
        <f t="shared" si="23"/>
        <v/>
      </c>
      <c r="M135" s="152" t="str">
        <f t="shared" si="24"/>
        <v/>
      </c>
      <c r="N135" s="606"/>
      <c r="O135" s="180"/>
      <c r="P135" s="181"/>
      <c r="Q135" s="182"/>
      <c r="R135" s="94"/>
      <c r="S135" s="136"/>
      <c r="T135" s="137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</row>
    <row r="136" spans="1:63" ht="15" thickTop="1" thickBot="1" x14ac:dyDescent="0.2">
      <c r="A136" s="605">
        <f>A115</f>
        <v>5</v>
      </c>
      <c r="B136" s="170"/>
      <c r="C136" s="163" t="s">
        <v>417</v>
      </c>
      <c r="D136" s="160" t="s">
        <v>0</v>
      </c>
      <c r="E136" s="173"/>
      <c r="F136" s="140">
        <f>'3b. Mobile Source Factors'!$K$10</f>
        <v>21.498750000000001</v>
      </c>
      <c r="G136" s="141" t="str">
        <f t="shared" si="20"/>
        <v/>
      </c>
      <c r="H136" s="144">
        <f>'3b. Mobile Source Factors'!$K$37</f>
        <v>5.9523809523809529E-4</v>
      </c>
      <c r="I136" s="148" t="str">
        <f t="shared" si="21"/>
        <v/>
      </c>
      <c r="J136" s="144">
        <f>'3b. Mobile Source Factors'!$K$50</f>
        <v>6.8342151675485009E-4</v>
      </c>
      <c r="K136" s="145" t="str">
        <f t="shared" si="22"/>
        <v/>
      </c>
      <c r="L136" s="141" t="str">
        <f t="shared" si="23"/>
        <v/>
      </c>
      <c r="M136" s="141" t="str">
        <f t="shared" si="24"/>
        <v/>
      </c>
      <c r="N136" s="616">
        <f>SUM(L136:L137)</f>
        <v>0</v>
      </c>
      <c r="O136" s="176"/>
      <c r="P136" s="184"/>
      <c r="Q136" s="190"/>
      <c r="S136" s="136"/>
      <c r="T136" s="137"/>
    </row>
    <row r="137" spans="1:63" s="156" customFormat="1" ht="15" customHeight="1" thickTop="1" thickBot="1" x14ac:dyDescent="0.2">
      <c r="A137" s="605"/>
      <c r="B137" s="171"/>
      <c r="C137" s="164" t="s">
        <v>125</v>
      </c>
      <c r="D137" s="150" t="s">
        <v>0</v>
      </c>
      <c r="E137" s="174"/>
      <c r="F137" s="151">
        <f>'3b. Mobile Source Factors'!$K$9</f>
        <v>18.323550000000001</v>
      </c>
      <c r="G137" s="152" t="str">
        <f t="shared" si="20"/>
        <v/>
      </c>
      <c r="H137" s="165">
        <f>'3b. Mobile Source Factors'!$K$38</f>
        <v>1.5542328042328041E-2</v>
      </c>
      <c r="I137" s="154" t="str">
        <f t="shared" si="21"/>
        <v/>
      </c>
      <c r="J137" s="153">
        <f>'3b. Mobile Source Factors'!$K$51</f>
        <v>2.4250440917107581E-4</v>
      </c>
      <c r="K137" s="155" t="str">
        <f t="shared" si="22"/>
        <v/>
      </c>
      <c r="L137" s="152" t="str">
        <f t="shared" si="23"/>
        <v/>
      </c>
      <c r="M137" s="152" t="str">
        <f t="shared" si="24"/>
        <v/>
      </c>
      <c r="N137" s="606"/>
      <c r="O137" s="180"/>
      <c r="P137" s="181"/>
      <c r="Q137" s="182"/>
      <c r="R137" s="94"/>
      <c r="S137" s="136"/>
      <c r="T137" s="137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</row>
    <row r="138" spans="1:63" ht="15" thickTop="1" thickBot="1" x14ac:dyDescent="0.2">
      <c r="A138" s="605">
        <f>A117</f>
        <v>6</v>
      </c>
      <c r="B138" s="172"/>
      <c r="C138" s="166" t="s">
        <v>417</v>
      </c>
      <c r="D138" s="160" t="s">
        <v>0</v>
      </c>
      <c r="E138" s="175"/>
      <c r="F138" s="157">
        <f>'3b. Mobile Source Factors'!$K$10</f>
        <v>21.498750000000001</v>
      </c>
      <c r="G138" s="141" t="str">
        <f t="shared" si="20"/>
        <v/>
      </c>
      <c r="H138" s="144">
        <f>'3b. Mobile Source Factors'!$K$37</f>
        <v>5.9523809523809529E-4</v>
      </c>
      <c r="I138" s="148" t="str">
        <f t="shared" si="21"/>
        <v/>
      </c>
      <c r="J138" s="144">
        <f>'3b. Mobile Source Factors'!$K$50</f>
        <v>6.8342151675485009E-4</v>
      </c>
      <c r="K138" s="145" t="str">
        <f t="shared" si="22"/>
        <v/>
      </c>
      <c r="L138" s="141" t="str">
        <f t="shared" si="23"/>
        <v/>
      </c>
      <c r="M138" s="141" t="str">
        <f t="shared" si="24"/>
        <v/>
      </c>
      <c r="N138" s="616">
        <f>SUM(L138:L139)</f>
        <v>0</v>
      </c>
      <c r="O138" s="183"/>
      <c r="P138" s="184"/>
      <c r="Q138" s="190"/>
      <c r="S138" s="136"/>
      <c r="T138" s="137"/>
    </row>
    <row r="139" spans="1:63" s="156" customFormat="1" ht="15" customHeight="1" thickTop="1" thickBot="1" x14ac:dyDescent="0.2">
      <c r="A139" s="605"/>
      <c r="B139" s="171"/>
      <c r="C139" s="164" t="s">
        <v>125</v>
      </c>
      <c r="D139" s="150" t="s">
        <v>0</v>
      </c>
      <c r="E139" s="174"/>
      <c r="F139" s="151">
        <f>'3b. Mobile Source Factors'!$K$9</f>
        <v>18.323550000000001</v>
      </c>
      <c r="G139" s="152" t="str">
        <f t="shared" si="20"/>
        <v/>
      </c>
      <c r="H139" s="165">
        <f>'3b. Mobile Source Factors'!$K$38</f>
        <v>1.5542328042328041E-2</v>
      </c>
      <c r="I139" s="154" t="str">
        <f t="shared" si="21"/>
        <v/>
      </c>
      <c r="J139" s="153">
        <f>'3b. Mobile Source Factors'!$K$51</f>
        <v>2.4250440917107581E-4</v>
      </c>
      <c r="K139" s="155" t="str">
        <f t="shared" si="22"/>
        <v/>
      </c>
      <c r="L139" s="152" t="str">
        <f t="shared" si="23"/>
        <v/>
      </c>
      <c r="M139" s="152" t="str">
        <f t="shared" si="24"/>
        <v/>
      </c>
      <c r="N139" s="606"/>
      <c r="O139" s="180"/>
      <c r="P139" s="181"/>
      <c r="Q139" s="182"/>
      <c r="R139" s="94"/>
      <c r="S139" s="136"/>
      <c r="T139" s="137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</row>
    <row r="140" spans="1:63" ht="15" thickTop="1" thickBot="1" x14ac:dyDescent="0.2">
      <c r="A140" s="605">
        <f>A119</f>
        <v>7</v>
      </c>
      <c r="B140" s="170"/>
      <c r="C140" s="163" t="s">
        <v>417</v>
      </c>
      <c r="D140" s="160" t="s">
        <v>0</v>
      </c>
      <c r="E140" s="173"/>
      <c r="F140" s="140">
        <f>'3b. Mobile Source Factors'!$K$10</f>
        <v>21.498750000000001</v>
      </c>
      <c r="G140" s="141" t="str">
        <f t="shared" si="20"/>
        <v/>
      </c>
      <c r="H140" s="144">
        <f>'3b. Mobile Source Factors'!$K$37</f>
        <v>5.9523809523809529E-4</v>
      </c>
      <c r="I140" s="148" t="str">
        <f t="shared" si="21"/>
        <v/>
      </c>
      <c r="J140" s="144">
        <f>'3b. Mobile Source Factors'!$K$50</f>
        <v>6.8342151675485009E-4</v>
      </c>
      <c r="K140" s="145" t="str">
        <f t="shared" si="22"/>
        <v/>
      </c>
      <c r="L140" s="141" t="str">
        <f t="shared" si="23"/>
        <v/>
      </c>
      <c r="M140" s="141" t="str">
        <f t="shared" si="24"/>
        <v/>
      </c>
      <c r="N140" s="616">
        <f>SUM(L140:L141)</f>
        <v>0</v>
      </c>
      <c r="O140" s="176"/>
      <c r="P140" s="184"/>
      <c r="Q140" s="190"/>
      <c r="S140" s="136"/>
      <c r="T140" s="137"/>
    </row>
    <row r="141" spans="1:63" s="156" customFormat="1" ht="15" customHeight="1" thickTop="1" thickBot="1" x14ac:dyDescent="0.2">
      <c r="A141" s="605"/>
      <c r="B141" s="171"/>
      <c r="C141" s="164" t="s">
        <v>125</v>
      </c>
      <c r="D141" s="150" t="s">
        <v>0</v>
      </c>
      <c r="E141" s="174"/>
      <c r="F141" s="151">
        <f>'3b. Mobile Source Factors'!$K$9</f>
        <v>18.323550000000001</v>
      </c>
      <c r="G141" s="152" t="str">
        <f t="shared" si="20"/>
        <v/>
      </c>
      <c r="H141" s="165">
        <f>'3b. Mobile Source Factors'!$K$38</f>
        <v>1.5542328042328041E-2</v>
      </c>
      <c r="I141" s="154" t="str">
        <f t="shared" si="21"/>
        <v/>
      </c>
      <c r="J141" s="153">
        <f>'3b. Mobile Source Factors'!$K$51</f>
        <v>2.4250440917107581E-4</v>
      </c>
      <c r="K141" s="155" t="str">
        <f t="shared" si="22"/>
        <v/>
      </c>
      <c r="L141" s="152" t="str">
        <f t="shared" si="23"/>
        <v/>
      </c>
      <c r="M141" s="152" t="str">
        <f t="shared" si="24"/>
        <v/>
      </c>
      <c r="N141" s="606"/>
      <c r="O141" s="180"/>
      <c r="P141" s="181"/>
      <c r="Q141" s="182"/>
      <c r="R141" s="94"/>
      <c r="S141" s="136"/>
      <c r="T141" s="137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</row>
    <row r="142" spans="1:63" ht="15" thickTop="1" thickBot="1" x14ac:dyDescent="0.2">
      <c r="A142" s="605">
        <f>A121</f>
        <v>8</v>
      </c>
      <c r="B142" s="172"/>
      <c r="C142" s="166" t="s">
        <v>417</v>
      </c>
      <c r="D142" s="160" t="s">
        <v>0</v>
      </c>
      <c r="E142" s="175"/>
      <c r="F142" s="157">
        <f>'3b. Mobile Source Factors'!$K$10</f>
        <v>21.498750000000001</v>
      </c>
      <c r="G142" s="141" t="str">
        <f t="shared" si="20"/>
        <v/>
      </c>
      <c r="H142" s="144">
        <f>'3b. Mobile Source Factors'!$K$37</f>
        <v>5.9523809523809529E-4</v>
      </c>
      <c r="I142" s="148" t="str">
        <f t="shared" si="21"/>
        <v/>
      </c>
      <c r="J142" s="144">
        <f>'3b. Mobile Source Factors'!$K$50</f>
        <v>6.8342151675485009E-4</v>
      </c>
      <c r="K142" s="145" t="str">
        <f t="shared" si="22"/>
        <v/>
      </c>
      <c r="L142" s="141" t="str">
        <f t="shared" si="23"/>
        <v/>
      </c>
      <c r="M142" s="141" t="str">
        <f t="shared" si="24"/>
        <v/>
      </c>
      <c r="N142" s="616">
        <f>SUM(L142:L143)</f>
        <v>0</v>
      </c>
      <c r="O142" s="183"/>
      <c r="P142" s="184"/>
      <c r="Q142" s="190"/>
      <c r="S142" s="136"/>
      <c r="T142" s="137"/>
    </row>
    <row r="143" spans="1:63" s="156" customFormat="1" ht="15" customHeight="1" thickTop="1" thickBot="1" x14ac:dyDescent="0.2">
      <c r="A143" s="605"/>
      <c r="B143" s="171"/>
      <c r="C143" s="164" t="s">
        <v>125</v>
      </c>
      <c r="D143" s="150" t="s">
        <v>0</v>
      </c>
      <c r="E143" s="174"/>
      <c r="F143" s="151">
        <f>'3b. Mobile Source Factors'!$K$9</f>
        <v>18.323550000000001</v>
      </c>
      <c r="G143" s="152" t="str">
        <f t="shared" si="20"/>
        <v/>
      </c>
      <c r="H143" s="165">
        <f>'3b. Mobile Source Factors'!$K$38</f>
        <v>1.5542328042328041E-2</v>
      </c>
      <c r="I143" s="154" t="str">
        <f t="shared" si="21"/>
        <v/>
      </c>
      <c r="J143" s="153">
        <f>'3b. Mobile Source Factors'!$K$51</f>
        <v>2.4250440917107581E-4</v>
      </c>
      <c r="K143" s="155" t="str">
        <f t="shared" si="22"/>
        <v/>
      </c>
      <c r="L143" s="152" t="str">
        <f t="shared" si="23"/>
        <v/>
      </c>
      <c r="M143" s="152" t="str">
        <f t="shared" si="24"/>
        <v/>
      </c>
      <c r="N143" s="606"/>
      <c r="O143" s="180"/>
      <c r="P143" s="181"/>
      <c r="Q143" s="182"/>
      <c r="R143" s="94"/>
      <c r="S143" s="136"/>
      <c r="T143" s="137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</row>
    <row r="144" spans="1:63" ht="15" thickTop="1" thickBot="1" x14ac:dyDescent="0.2">
      <c r="A144" s="605">
        <f>A123</f>
        <v>9</v>
      </c>
      <c r="B144" s="170"/>
      <c r="C144" s="163" t="s">
        <v>417</v>
      </c>
      <c r="D144" s="160" t="s">
        <v>0</v>
      </c>
      <c r="E144" s="173"/>
      <c r="F144" s="140">
        <f>'3b. Mobile Source Factors'!$K$10</f>
        <v>21.498750000000001</v>
      </c>
      <c r="G144" s="141" t="str">
        <f t="shared" si="20"/>
        <v/>
      </c>
      <c r="H144" s="144">
        <f>'3b. Mobile Source Factors'!$K$37</f>
        <v>5.9523809523809529E-4</v>
      </c>
      <c r="I144" s="148" t="str">
        <f t="shared" si="21"/>
        <v/>
      </c>
      <c r="J144" s="144">
        <f>'3b. Mobile Source Factors'!$K$50</f>
        <v>6.8342151675485009E-4</v>
      </c>
      <c r="K144" s="145" t="str">
        <f t="shared" si="22"/>
        <v/>
      </c>
      <c r="L144" s="141" t="str">
        <f t="shared" si="23"/>
        <v/>
      </c>
      <c r="M144" s="141" t="str">
        <f t="shared" si="24"/>
        <v/>
      </c>
      <c r="N144" s="616">
        <f>SUM(L144:L145)</f>
        <v>0</v>
      </c>
      <c r="O144" s="176"/>
      <c r="P144" s="184"/>
      <c r="Q144" s="190"/>
      <c r="S144" s="136"/>
      <c r="T144" s="137"/>
    </row>
    <row r="145" spans="1:63" s="156" customFormat="1" ht="15" customHeight="1" thickTop="1" thickBot="1" x14ac:dyDescent="0.2">
      <c r="A145" s="605"/>
      <c r="B145" s="171"/>
      <c r="C145" s="164" t="s">
        <v>125</v>
      </c>
      <c r="D145" s="150" t="s">
        <v>0</v>
      </c>
      <c r="E145" s="174"/>
      <c r="F145" s="151">
        <f>'3b. Mobile Source Factors'!$K$9</f>
        <v>18.323550000000001</v>
      </c>
      <c r="G145" s="152" t="str">
        <f t="shared" si="20"/>
        <v/>
      </c>
      <c r="H145" s="165">
        <f>'3b. Mobile Source Factors'!$K$38</f>
        <v>1.5542328042328041E-2</v>
      </c>
      <c r="I145" s="154" t="str">
        <f t="shared" si="21"/>
        <v/>
      </c>
      <c r="J145" s="153">
        <f>'3b. Mobile Source Factors'!$K$51</f>
        <v>2.4250440917107581E-4</v>
      </c>
      <c r="K145" s="155" t="str">
        <f t="shared" si="22"/>
        <v/>
      </c>
      <c r="L145" s="152" t="str">
        <f t="shared" si="23"/>
        <v/>
      </c>
      <c r="M145" s="152" t="str">
        <f t="shared" si="24"/>
        <v/>
      </c>
      <c r="N145" s="606"/>
      <c r="O145" s="180"/>
      <c r="P145" s="181"/>
      <c r="Q145" s="182"/>
      <c r="R145" s="94"/>
      <c r="S145" s="136"/>
      <c r="T145" s="137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</row>
    <row r="146" spans="1:63" ht="15" thickTop="1" thickBot="1" x14ac:dyDescent="0.2">
      <c r="A146" s="605">
        <f>A125</f>
        <v>10</v>
      </c>
      <c r="B146" s="172"/>
      <c r="C146" s="166" t="s">
        <v>417</v>
      </c>
      <c r="D146" s="160" t="s">
        <v>0</v>
      </c>
      <c r="E146" s="175"/>
      <c r="F146" s="157">
        <f>'3b. Mobile Source Factors'!$K$10</f>
        <v>21.498750000000001</v>
      </c>
      <c r="G146" s="141" t="str">
        <f t="shared" si="20"/>
        <v/>
      </c>
      <c r="H146" s="144">
        <f>'3b. Mobile Source Factors'!$K$37</f>
        <v>5.9523809523809529E-4</v>
      </c>
      <c r="I146" s="148" t="str">
        <f t="shared" si="21"/>
        <v/>
      </c>
      <c r="J146" s="144">
        <f>'3b. Mobile Source Factors'!$K$50</f>
        <v>6.8342151675485009E-4</v>
      </c>
      <c r="K146" s="145" t="str">
        <f t="shared" si="22"/>
        <v/>
      </c>
      <c r="L146" s="141" t="str">
        <f t="shared" si="23"/>
        <v/>
      </c>
      <c r="M146" s="141" t="str">
        <f t="shared" si="24"/>
        <v/>
      </c>
      <c r="N146" s="616">
        <f>SUM(L146:L147)</f>
        <v>0</v>
      </c>
      <c r="O146" s="183"/>
      <c r="P146" s="184"/>
      <c r="Q146" s="190"/>
      <c r="S146" s="136"/>
      <c r="T146" s="137"/>
    </row>
    <row r="147" spans="1:63" s="156" customFormat="1" ht="15" customHeight="1" thickTop="1" thickBot="1" x14ac:dyDescent="0.2">
      <c r="A147" s="605"/>
      <c r="B147" s="171"/>
      <c r="C147" s="164" t="s">
        <v>125</v>
      </c>
      <c r="D147" s="150" t="s">
        <v>0</v>
      </c>
      <c r="E147" s="174"/>
      <c r="F147" s="151">
        <f>'3b. Mobile Source Factors'!$K$9</f>
        <v>18.323550000000001</v>
      </c>
      <c r="G147" s="152" t="str">
        <f t="shared" si="20"/>
        <v/>
      </c>
      <c r="H147" s="165">
        <f>'3b. Mobile Source Factors'!$K$38</f>
        <v>1.5542328042328041E-2</v>
      </c>
      <c r="I147" s="154" t="str">
        <f t="shared" si="21"/>
        <v/>
      </c>
      <c r="J147" s="153">
        <f>'3b. Mobile Source Factors'!$K$51</f>
        <v>2.4250440917107581E-4</v>
      </c>
      <c r="K147" s="155" t="str">
        <f t="shared" si="22"/>
        <v/>
      </c>
      <c r="L147" s="152" t="str">
        <f t="shared" si="23"/>
        <v/>
      </c>
      <c r="M147" s="152" t="str">
        <f t="shared" si="24"/>
        <v/>
      </c>
      <c r="N147" s="606"/>
      <c r="O147" s="180"/>
      <c r="P147" s="181"/>
      <c r="Q147" s="182"/>
      <c r="R147" s="94"/>
      <c r="S147" s="136"/>
      <c r="T147" s="137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</row>
    <row r="148" spans="1:63" s="93" customFormat="1" ht="14" thickTop="1" x14ac:dyDescent="0.15">
      <c r="A148" s="447"/>
      <c r="B148" s="447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</row>
    <row r="149" spans="1:63" s="93" customFormat="1" x14ac:dyDescent="0.15">
      <c r="A149" s="447"/>
      <c r="B149" s="447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</row>
    <row r="150" spans="1:63" s="93" customFormat="1" x14ac:dyDescent="0.15">
      <c r="A150" s="447"/>
      <c r="B150" s="447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</row>
    <row r="151" spans="1:63" s="93" customFormat="1" x14ac:dyDescent="0.15">
      <c r="A151" s="447"/>
      <c r="B151" s="447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</row>
    <row r="152" spans="1:63" s="93" customFormat="1" x14ac:dyDescent="0.15">
      <c r="A152" s="447"/>
      <c r="B152" s="447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</row>
    <row r="153" spans="1:63" s="93" customFormat="1" x14ac:dyDescent="0.15">
      <c r="A153" s="447"/>
      <c r="B153" s="447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</row>
    <row r="154" spans="1:63" s="93" customFormat="1" x14ac:dyDescent="0.15">
      <c r="A154" s="447"/>
      <c r="B154" s="447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</row>
    <row r="155" spans="1:63" s="93" customFormat="1" x14ac:dyDescent="0.15">
      <c r="A155" s="447"/>
      <c r="B155" s="447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</row>
    <row r="156" spans="1:63" s="93" customFormat="1" x14ac:dyDescent="0.15">
      <c r="A156" s="447"/>
      <c r="B156" s="447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</row>
    <row r="157" spans="1:63" s="93" customFormat="1" x14ac:dyDescent="0.15">
      <c r="A157" s="447"/>
      <c r="B157" s="447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</row>
    <row r="158" spans="1:63" s="93" customFormat="1" x14ac:dyDescent="0.15">
      <c r="A158" s="447"/>
      <c r="B158" s="447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</row>
    <row r="159" spans="1:63" s="93" customFormat="1" x14ac:dyDescent="0.15">
      <c r="A159" s="447"/>
      <c r="B159" s="447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</row>
    <row r="160" spans="1:63" s="93" customFormat="1" x14ac:dyDescent="0.15">
      <c r="A160" s="447"/>
      <c r="B160" s="447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</row>
    <row r="161" spans="1:63" s="93" customFormat="1" x14ac:dyDescent="0.15">
      <c r="A161" s="447"/>
      <c r="B161" s="447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</row>
    <row r="162" spans="1:63" s="93" customFormat="1" x14ac:dyDescent="0.15">
      <c r="A162" s="447"/>
      <c r="B162" s="447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</row>
    <row r="163" spans="1:63" s="93" customFormat="1" x14ac:dyDescent="0.15">
      <c r="A163" s="447"/>
      <c r="B163" s="447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</row>
    <row r="164" spans="1:63" s="93" customFormat="1" x14ac:dyDescent="0.15">
      <c r="A164" s="447"/>
      <c r="B164" s="447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</row>
    <row r="165" spans="1:63" s="93" customFormat="1" x14ac:dyDescent="0.15">
      <c r="A165" s="447"/>
      <c r="B165" s="447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</row>
    <row r="166" spans="1:63" s="93" customFormat="1" x14ac:dyDescent="0.15">
      <c r="A166" s="447"/>
      <c r="B166" s="447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</row>
    <row r="167" spans="1:63" s="93" customFormat="1" x14ac:dyDescent="0.15">
      <c r="A167" s="447"/>
      <c r="B167" s="447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</row>
    <row r="168" spans="1:63" s="93" customFormat="1" x14ac:dyDescent="0.15">
      <c r="A168" s="447"/>
      <c r="B168" s="447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</row>
    <row r="169" spans="1:63" s="93" customFormat="1" x14ac:dyDescent="0.15">
      <c r="A169" s="447"/>
      <c r="B169" s="447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</row>
    <row r="170" spans="1:63" s="93" customFormat="1" x14ac:dyDescent="0.15">
      <c r="A170" s="447"/>
      <c r="B170" s="447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</row>
    <row r="171" spans="1:63" s="93" customFormat="1" x14ac:dyDescent="0.15">
      <c r="A171" s="447"/>
      <c r="B171" s="447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</row>
    <row r="172" spans="1:63" s="93" customFormat="1" x14ac:dyDescent="0.15">
      <c r="A172" s="447"/>
      <c r="B172" s="447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</row>
    <row r="173" spans="1:63" s="93" customFormat="1" x14ac:dyDescent="0.15">
      <c r="A173" s="447"/>
      <c r="B173" s="447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</row>
    <row r="174" spans="1:63" s="93" customFormat="1" x14ac:dyDescent="0.15">
      <c r="A174" s="447"/>
      <c r="B174" s="447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</row>
    <row r="175" spans="1:63" s="93" customFormat="1" x14ac:dyDescent="0.15">
      <c r="A175" s="447"/>
      <c r="B175" s="447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</row>
    <row r="176" spans="1:63" s="93" customFormat="1" x14ac:dyDescent="0.15">
      <c r="A176" s="447"/>
      <c r="B176" s="447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</row>
    <row r="177" spans="1:63" s="93" customFormat="1" x14ac:dyDescent="0.15">
      <c r="A177" s="447"/>
      <c r="B177" s="447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</row>
    <row r="178" spans="1:63" s="93" customFormat="1" x14ac:dyDescent="0.15">
      <c r="A178" s="447"/>
      <c r="B178" s="447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</row>
    <row r="179" spans="1:63" s="93" customFormat="1" x14ac:dyDescent="0.15">
      <c r="A179" s="447"/>
      <c r="B179" s="447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</row>
    <row r="180" spans="1:63" s="93" customFormat="1" x14ac:dyDescent="0.15">
      <c r="A180" s="447"/>
      <c r="B180" s="447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</row>
    <row r="181" spans="1:63" s="93" customFormat="1" x14ac:dyDescent="0.15">
      <c r="A181" s="447"/>
      <c r="B181" s="447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</row>
    <row r="182" spans="1:63" s="93" customFormat="1" x14ac:dyDescent="0.15">
      <c r="A182" s="447"/>
      <c r="B182" s="447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</row>
    <row r="183" spans="1:63" s="93" customFormat="1" x14ac:dyDescent="0.15">
      <c r="A183" s="447"/>
      <c r="B183" s="447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</row>
    <row r="184" spans="1:63" s="93" customFormat="1" x14ac:dyDescent="0.15">
      <c r="A184" s="447"/>
      <c r="B184" s="447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</row>
    <row r="185" spans="1:63" s="93" customFormat="1" x14ac:dyDescent="0.15">
      <c r="A185" s="447"/>
      <c r="B185" s="447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</row>
    <row r="186" spans="1:63" s="93" customFormat="1" x14ac:dyDescent="0.15">
      <c r="A186" s="447"/>
      <c r="B186" s="447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</row>
    <row r="187" spans="1:63" s="93" customFormat="1" x14ac:dyDescent="0.15">
      <c r="A187" s="447"/>
      <c r="B187" s="447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</row>
    <row r="188" spans="1:63" s="93" customFormat="1" x14ac:dyDescent="0.15">
      <c r="A188" s="447"/>
      <c r="B188" s="447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</row>
    <row r="189" spans="1:63" s="93" customFormat="1" x14ac:dyDescent="0.15">
      <c r="A189" s="447"/>
      <c r="B189" s="447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</row>
    <row r="190" spans="1:63" s="93" customFormat="1" x14ac:dyDescent="0.15">
      <c r="A190" s="447"/>
      <c r="B190" s="447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</row>
    <row r="191" spans="1:63" s="93" customFormat="1" x14ac:dyDescent="0.15">
      <c r="A191" s="447"/>
      <c r="B191" s="447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</row>
    <row r="192" spans="1:63" s="93" customFormat="1" x14ac:dyDescent="0.15">
      <c r="A192" s="447"/>
      <c r="B192" s="447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</row>
    <row r="193" spans="1:63" s="93" customFormat="1" x14ac:dyDescent="0.15">
      <c r="A193" s="447"/>
      <c r="B193" s="447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</row>
    <row r="194" spans="1:63" s="93" customFormat="1" x14ac:dyDescent="0.15">
      <c r="A194" s="447"/>
      <c r="B194" s="447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</row>
    <row r="195" spans="1:63" s="93" customFormat="1" x14ac:dyDescent="0.15">
      <c r="A195" s="447"/>
      <c r="B195" s="447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</row>
    <row r="196" spans="1:63" s="93" customFormat="1" x14ac:dyDescent="0.15">
      <c r="A196" s="447"/>
      <c r="B196" s="447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</row>
    <row r="197" spans="1:63" s="93" customFormat="1" x14ac:dyDescent="0.15">
      <c r="A197" s="447"/>
      <c r="B197" s="447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</row>
    <row r="198" spans="1:63" s="93" customFormat="1" x14ac:dyDescent="0.15">
      <c r="A198" s="447"/>
      <c r="B198" s="447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</row>
    <row r="199" spans="1:63" s="93" customFormat="1" x14ac:dyDescent="0.15">
      <c r="A199" s="447"/>
      <c r="B199" s="447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</row>
    <row r="200" spans="1:63" s="216" customFormat="1" x14ac:dyDescent="0.15">
      <c r="A200" s="288"/>
      <c r="B200" s="28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</row>
    <row r="201" spans="1:63" s="216" customFormat="1" x14ac:dyDescent="0.15">
      <c r="A201" s="288"/>
      <c r="B201" s="28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</row>
    <row r="202" spans="1:63" s="216" customFormat="1" x14ac:dyDescent="0.15">
      <c r="A202" s="288"/>
      <c r="B202" s="28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</row>
    <row r="203" spans="1:63" s="216" customFormat="1" x14ac:dyDescent="0.15">
      <c r="A203" s="288"/>
      <c r="B203" s="28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</row>
    <row r="204" spans="1:63" s="216" customFormat="1" x14ac:dyDescent="0.15">
      <c r="A204" s="288"/>
      <c r="B204" s="28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</row>
    <row r="205" spans="1:63" s="216" customFormat="1" x14ac:dyDescent="0.15">
      <c r="A205" s="288"/>
      <c r="B205" s="28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</row>
    <row r="206" spans="1:63" s="216" customFormat="1" x14ac:dyDescent="0.15">
      <c r="A206" s="288"/>
      <c r="B206" s="28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</row>
    <row r="207" spans="1:63" s="216" customFormat="1" x14ac:dyDescent="0.15">
      <c r="A207" s="288"/>
      <c r="B207" s="28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</row>
    <row r="208" spans="1:63" s="216" customFormat="1" x14ac:dyDescent="0.15">
      <c r="A208" s="288"/>
      <c r="B208" s="28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</row>
    <row r="209" spans="1:63" s="216" customFormat="1" x14ac:dyDescent="0.15">
      <c r="A209" s="288"/>
      <c r="B209" s="28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</row>
    <row r="210" spans="1:63" s="216" customFormat="1" x14ac:dyDescent="0.15">
      <c r="A210" s="288"/>
      <c r="B210" s="28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</row>
    <row r="211" spans="1:63" s="216" customFormat="1" x14ac:dyDescent="0.15">
      <c r="A211" s="288"/>
      <c r="B211" s="28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</row>
    <row r="212" spans="1:63" s="216" customFormat="1" x14ac:dyDescent="0.15">
      <c r="A212" s="288"/>
      <c r="B212" s="28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</row>
    <row r="213" spans="1:63" s="216" customFormat="1" x14ac:dyDescent="0.15">
      <c r="A213" s="288"/>
      <c r="B213" s="28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</row>
    <row r="214" spans="1:63" s="216" customFormat="1" x14ac:dyDescent="0.15">
      <c r="A214" s="288"/>
      <c r="B214" s="28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</row>
    <row r="215" spans="1:63" s="216" customFormat="1" x14ac:dyDescent="0.15">
      <c r="A215" s="288"/>
      <c r="B215" s="28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</row>
    <row r="216" spans="1:63" s="216" customFormat="1" x14ac:dyDescent="0.15">
      <c r="A216" s="288"/>
      <c r="B216" s="28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</row>
    <row r="217" spans="1:63" s="216" customFormat="1" x14ac:dyDescent="0.15">
      <c r="A217" s="288"/>
      <c r="B217" s="28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</row>
    <row r="218" spans="1:63" s="216" customFormat="1" x14ac:dyDescent="0.15">
      <c r="A218" s="288"/>
      <c r="B218" s="28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</row>
    <row r="219" spans="1:63" s="216" customFormat="1" x14ac:dyDescent="0.15">
      <c r="A219" s="288"/>
      <c r="B219" s="28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</row>
    <row r="220" spans="1:63" s="216" customFormat="1" x14ac:dyDescent="0.15">
      <c r="A220" s="288"/>
      <c r="B220" s="28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</row>
    <row r="221" spans="1:63" s="216" customFormat="1" x14ac:dyDescent="0.15">
      <c r="A221" s="288"/>
      <c r="B221" s="28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</row>
    <row r="222" spans="1:63" s="216" customFormat="1" x14ac:dyDescent="0.15">
      <c r="A222" s="288"/>
      <c r="B222" s="28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</row>
    <row r="223" spans="1:63" s="216" customFormat="1" x14ac:dyDescent="0.15">
      <c r="A223" s="288"/>
      <c r="B223" s="28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H223" s="218"/>
      <c r="BI223" s="218"/>
      <c r="BJ223" s="218"/>
      <c r="BK223" s="218"/>
    </row>
    <row r="224" spans="1:63" s="216" customFormat="1" x14ac:dyDescent="0.15">
      <c r="A224" s="288"/>
      <c r="B224" s="28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</row>
    <row r="225" spans="1:63" s="216" customFormat="1" x14ac:dyDescent="0.15">
      <c r="A225" s="288"/>
      <c r="B225" s="28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</row>
    <row r="226" spans="1:63" s="216" customFormat="1" x14ac:dyDescent="0.15">
      <c r="A226" s="288"/>
      <c r="B226" s="28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</row>
    <row r="227" spans="1:63" s="216" customFormat="1" x14ac:dyDescent="0.15">
      <c r="A227" s="288"/>
      <c r="B227" s="28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</row>
    <row r="228" spans="1:63" s="216" customFormat="1" x14ac:dyDescent="0.15">
      <c r="A228" s="288"/>
      <c r="B228" s="28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</row>
    <row r="229" spans="1:63" s="216" customFormat="1" x14ac:dyDescent="0.15">
      <c r="A229" s="288"/>
      <c r="B229" s="28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8"/>
      <c r="BI229" s="218"/>
      <c r="BJ229" s="218"/>
      <c r="BK229" s="218"/>
    </row>
    <row r="230" spans="1:63" s="216" customFormat="1" x14ac:dyDescent="0.15">
      <c r="A230" s="288"/>
      <c r="B230" s="28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8"/>
      <c r="AT230" s="218"/>
      <c r="AU230" s="218"/>
      <c r="AV230" s="218"/>
      <c r="AW230" s="218"/>
      <c r="AX230" s="218"/>
      <c r="AY230" s="218"/>
      <c r="AZ230" s="218"/>
      <c r="BA230" s="218"/>
      <c r="BB230" s="218"/>
      <c r="BC230" s="218"/>
      <c r="BD230" s="218"/>
      <c r="BE230" s="218"/>
      <c r="BF230" s="218"/>
      <c r="BG230" s="218"/>
      <c r="BH230" s="218"/>
      <c r="BI230" s="218"/>
      <c r="BJ230" s="218"/>
      <c r="BK230" s="218"/>
    </row>
    <row r="231" spans="1:63" s="216" customFormat="1" x14ac:dyDescent="0.15">
      <c r="A231" s="288"/>
      <c r="B231" s="28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H231" s="218"/>
      <c r="BI231" s="218"/>
      <c r="BJ231" s="218"/>
      <c r="BK231" s="218"/>
    </row>
    <row r="232" spans="1:63" s="216" customFormat="1" x14ac:dyDescent="0.15">
      <c r="A232" s="288"/>
      <c r="B232" s="28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</row>
    <row r="233" spans="1:63" s="216" customFormat="1" x14ac:dyDescent="0.15">
      <c r="A233" s="288"/>
      <c r="B233" s="28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</row>
    <row r="234" spans="1:63" s="216" customFormat="1" x14ac:dyDescent="0.15">
      <c r="A234" s="288"/>
      <c r="B234" s="28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</row>
    <row r="235" spans="1:63" s="216" customFormat="1" x14ac:dyDescent="0.15">
      <c r="A235" s="288"/>
      <c r="B235" s="28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</row>
    <row r="236" spans="1:63" s="216" customFormat="1" x14ac:dyDescent="0.15">
      <c r="A236" s="288"/>
      <c r="B236" s="28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</row>
    <row r="237" spans="1:63" s="216" customFormat="1" x14ac:dyDescent="0.15">
      <c r="A237" s="288"/>
      <c r="B237" s="28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</row>
    <row r="238" spans="1:63" s="216" customFormat="1" x14ac:dyDescent="0.15">
      <c r="A238" s="288"/>
      <c r="B238" s="28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</row>
    <row r="239" spans="1:63" s="216" customFormat="1" x14ac:dyDescent="0.15">
      <c r="A239" s="288"/>
      <c r="B239" s="28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</row>
    <row r="240" spans="1:63" s="216" customFormat="1" x14ac:dyDescent="0.15">
      <c r="A240" s="288"/>
      <c r="B240" s="28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</row>
    <row r="241" spans="1:63" s="216" customFormat="1" x14ac:dyDescent="0.15">
      <c r="A241" s="288"/>
      <c r="B241" s="28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</row>
    <row r="242" spans="1:63" s="216" customFormat="1" x14ac:dyDescent="0.15">
      <c r="A242" s="288"/>
      <c r="B242" s="28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</row>
    <row r="243" spans="1:63" s="216" customFormat="1" x14ac:dyDescent="0.15">
      <c r="A243" s="288"/>
      <c r="B243" s="28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</row>
    <row r="244" spans="1:63" s="216" customFormat="1" x14ac:dyDescent="0.15">
      <c r="A244" s="288"/>
      <c r="B244" s="28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</row>
    <row r="245" spans="1:63" s="216" customFormat="1" x14ac:dyDescent="0.15">
      <c r="A245" s="288"/>
      <c r="B245" s="28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</row>
    <row r="246" spans="1:63" s="216" customFormat="1" x14ac:dyDescent="0.15">
      <c r="A246" s="288"/>
      <c r="B246" s="28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</row>
    <row r="247" spans="1:63" s="216" customFormat="1" x14ac:dyDescent="0.15">
      <c r="A247" s="288"/>
      <c r="B247" s="28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</row>
    <row r="248" spans="1:63" s="216" customFormat="1" x14ac:dyDescent="0.15">
      <c r="A248" s="288"/>
      <c r="B248" s="28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</row>
    <row r="249" spans="1:63" s="216" customFormat="1" x14ac:dyDescent="0.15">
      <c r="A249" s="288"/>
      <c r="B249" s="28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</row>
    <row r="250" spans="1:63" s="216" customFormat="1" x14ac:dyDescent="0.15">
      <c r="A250" s="288"/>
      <c r="B250" s="28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</row>
    <row r="251" spans="1:63" s="216" customFormat="1" x14ac:dyDescent="0.15">
      <c r="A251" s="288"/>
      <c r="B251" s="28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</row>
    <row r="252" spans="1:63" s="216" customFormat="1" x14ac:dyDescent="0.15">
      <c r="A252" s="288"/>
      <c r="B252" s="28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</row>
    <row r="253" spans="1:63" s="216" customFormat="1" x14ac:dyDescent="0.15">
      <c r="A253" s="288"/>
      <c r="B253" s="28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</row>
    <row r="254" spans="1:63" s="216" customFormat="1" x14ac:dyDescent="0.15">
      <c r="A254" s="288"/>
      <c r="B254" s="28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</row>
    <row r="255" spans="1:63" s="216" customFormat="1" x14ac:dyDescent="0.15">
      <c r="A255" s="288"/>
      <c r="B255" s="28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</row>
    <row r="256" spans="1:63" s="216" customFormat="1" x14ac:dyDescent="0.15">
      <c r="A256" s="288"/>
      <c r="B256" s="28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  <c r="AS256" s="218"/>
      <c r="AT256" s="218"/>
      <c r="AU256" s="218"/>
      <c r="AV256" s="218"/>
      <c r="AW256" s="218"/>
      <c r="AX256" s="218"/>
      <c r="AY256" s="218"/>
      <c r="AZ256" s="218"/>
      <c r="BA256" s="218"/>
      <c r="BB256" s="218"/>
      <c r="BC256" s="218"/>
      <c r="BD256" s="218"/>
      <c r="BE256" s="218"/>
      <c r="BF256" s="218"/>
      <c r="BG256" s="218"/>
      <c r="BH256" s="218"/>
      <c r="BI256" s="218"/>
      <c r="BJ256" s="218"/>
      <c r="BK256" s="218"/>
    </row>
    <row r="257" spans="1:63" s="216" customFormat="1" x14ac:dyDescent="0.15">
      <c r="A257" s="288"/>
      <c r="B257" s="28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</row>
    <row r="258" spans="1:63" s="216" customFormat="1" x14ac:dyDescent="0.15">
      <c r="A258" s="288"/>
      <c r="B258" s="28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18"/>
      <c r="AX258" s="218"/>
      <c r="AY258" s="218"/>
      <c r="AZ258" s="218"/>
      <c r="BA258" s="218"/>
      <c r="BB258" s="218"/>
      <c r="BC258" s="218"/>
      <c r="BD258" s="218"/>
      <c r="BE258" s="218"/>
      <c r="BF258" s="218"/>
      <c r="BG258" s="218"/>
      <c r="BH258" s="218"/>
      <c r="BI258" s="218"/>
      <c r="BJ258" s="218"/>
      <c r="BK258" s="218"/>
    </row>
    <row r="259" spans="1:63" s="216" customFormat="1" x14ac:dyDescent="0.15">
      <c r="A259" s="288"/>
      <c r="B259" s="28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18"/>
      <c r="AU259" s="218"/>
      <c r="AV259" s="218"/>
      <c r="AW259" s="218"/>
      <c r="AX259" s="218"/>
      <c r="AY259" s="218"/>
      <c r="AZ259" s="218"/>
      <c r="BA259" s="218"/>
      <c r="BB259" s="218"/>
      <c r="BC259" s="218"/>
      <c r="BD259" s="218"/>
      <c r="BE259" s="218"/>
      <c r="BF259" s="218"/>
      <c r="BG259" s="218"/>
      <c r="BH259" s="218"/>
      <c r="BI259" s="218"/>
      <c r="BJ259" s="218"/>
      <c r="BK259" s="218"/>
    </row>
    <row r="260" spans="1:63" s="216" customFormat="1" x14ac:dyDescent="0.15">
      <c r="A260" s="288"/>
      <c r="B260" s="28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</row>
    <row r="261" spans="1:63" s="216" customFormat="1" x14ac:dyDescent="0.15">
      <c r="A261" s="288"/>
      <c r="B261" s="28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</row>
    <row r="262" spans="1:63" s="216" customFormat="1" x14ac:dyDescent="0.15">
      <c r="A262" s="288"/>
      <c r="B262" s="28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18"/>
      <c r="AU262" s="218"/>
      <c r="AV262" s="218"/>
      <c r="AW262" s="218"/>
      <c r="AX262" s="218"/>
      <c r="AY262" s="218"/>
      <c r="AZ262" s="218"/>
      <c r="BA262" s="218"/>
      <c r="BB262" s="218"/>
      <c r="BC262" s="218"/>
      <c r="BD262" s="218"/>
      <c r="BE262" s="218"/>
      <c r="BF262" s="218"/>
      <c r="BG262" s="218"/>
      <c r="BH262" s="218"/>
      <c r="BI262" s="218"/>
      <c r="BJ262" s="218"/>
      <c r="BK262" s="218"/>
    </row>
    <row r="263" spans="1:63" s="216" customFormat="1" x14ac:dyDescent="0.15">
      <c r="A263" s="288"/>
      <c r="B263" s="28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</row>
    <row r="264" spans="1:63" s="216" customFormat="1" x14ac:dyDescent="0.15">
      <c r="A264" s="288"/>
      <c r="B264" s="28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</row>
    <row r="265" spans="1:63" s="216" customFormat="1" x14ac:dyDescent="0.15">
      <c r="A265" s="288"/>
      <c r="B265" s="28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18"/>
      <c r="BD265" s="218"/>
      <c r="BE265" s="218"/>
      <c r="BF265" s="218"/>
      <c r="BG265" s="218"/>
      <c r="BH265" s="218"/>
      <c r="BI265" s="218"/>
      <c r="BJ265" s="218"/>
      <c r="BK265" s="218"/>
    </row>
    <row r="266" spans="1:63" s="216" customFormat="1" x14ac:dyDescent="0.15">
      <c r="A266" s="288"/>
      <c r="B266" s="28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218"/>
      <c r="AT266" s="218"/>
      <c r="AU266" s="218"/>
      <c r="AV266" s="218"/>
      <c r="AW266" s="218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</row>
    <row r="267" spans="1:63" s="216" customFormat="1" x14ac:dyDescent="0.15">
      <c r="A267" s="288"/>
      <c r="B267" s="28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18"/>
      <c r="AX267" s="218"/>
      <c r="AY267" s="218"/>
      <c r="AZ267" s="218"/>
      <c r="BA267" s="218"/>
      <c r="BB267" s="218"/>
      <c r="BC267" s="218"/>
      <c r="BD267" s="218"/>
      <c r="BE267" s="218"/>
      <c r="BF267" s="218"/>
      <c r="BG267" s="218"/>
      <c r="BH267" s="218"/>
      <c r="BI267" s="218"/>
      <c r="BJ267" s="218"/>
      <c r="BK267" s="218"/>
    </row>
    <row r="268" spans="1:63" s="216" customFormat="1" x14ac:dyDescent="0.15">
      <c r="A268" s="288"/>
      <c r="B268" s="28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218"/>
      <c r="AT268" s="218"/>
      <c r="AU268" s="218"/>
      <c r="AV268" s="218"/>
      <c r="AW268" s="218"/>
      <c r="AX268" s="218"/>
      <c r="AY268" s="218"/>
      <c r="AZ268" s="218"/>
      <c r="BA268" s="218"/>
      <c r="BB268" s="218"/>
      <c r="BC268" s="218"/>
      <c r="BD268" s="218"/>
      <c r="BE268" s="218"/>
      <c r="BF268" s="218"/>
      <c r="BG268" s="218"/>
      <c r="BH268" s="218"/>
      <c r="BI268" s="218"/>
      <c r="BJ268" s="218"/>
      <c r="BK268" s="218"/>
    </row>
    <row r="269" spans="1:63" s="216" customFormat="1" x14ac:dyDescent="0.15">
      <c r="A269" s="288"/>
      <c r="B269" s="28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</row>
    <row r="270" spans="1:63" s="216" customFormat="1" x14ac:dyDescent="0.15">
      <c r="A270" s="288"/>
      <c r="B270" s="28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</row>
    <row r="271" spans="1:63" s="216" customFormat="1" x14ac:dyDescent="0.15">
      <c r="A271" s="288"/>
      <c r="B271" s="28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218"/>
      <c r="BD271" s="218"/>
      <c r="BE271" s="218"/>
      <c r="BF271" s="218"/>
      <c r="BG271" s="218"/>
      <c r="BH271" s="218"/>
      <c r="BI271" s="218"/>
      <c r="BJ271" s="218"/>
      <c r="BK271" s="218"/>
    </row>
    <row r="272" spans="1:63" s="216" customFormat="1" x14ac:dyDescent="0.15">
      <c r="A272" s="288"/>
      <c r="B272" s="28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</row>
    <row r="273" spans="1:63" s="216" customFormat="1" x14ac:dyDescent="0.15">
      <c r="A273" s="288"/>
      <c r="B273" s="28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8"/>
      <c r="AZ273" s="218"/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</row>
    <row r="274" spans="1:63" s="216" customFormat="1" x14ac:dyDescent="0.15">
      <c r="A274" s="288"/>
      <c r="B274" s="28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  <c r="AN274" s="218"/>
      <c r="AO274" s="218"/>
      <c r="AP274" s="218"/>
      <c r="AQ274" s="218"/>
      <c r="AR274" s="218"/>
      <c r="AS274" s="218"/>
      <c r="AT274" s="218"/>
      <c r="AU274" s="218"/>
      <c r="AV274" s="218"/>
      <c r="AW274" s="218"/>
      <c r="AX274" s="218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/>
      <c r="BK274" s="218"/>
    </row>
    <row r="275" spans="1:63" s="216" customFormat="1" x14ac:dyDescent="0.15">
      <c r="A275" s="288"/>
      <c r="B275" s="28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  <c r="AN275" s="218"/>
      <c r="AO275" s="218"/>
      <c r="AP275" s="218"/>
      <c r="AQ275" s="218"/>
      <c r="AR275" s="218"/>
      <c r="AS275" s="218"/>
      <c r="AT275" s="218"/>
      <c r="AU275" s="218"/>
      <c r="AV275" s="218"/>
      <c r="AW275" s="218"/>
      <c r="AX275" s="218"/>
      <c r="AY275" s="218"/>
      <c r="AZ275" s="218"/>
      <c r="BA275" s="218"/>
      <c r="BB275" s="218"/>
      <c r="BC275" s="218"/>
      <c r="BD275" s="218"/>
      <c r="BE275" s="218"/>
      <c r="BF275" s="218"/>
      <c r="BG275" s="218"/>
      <c r="BH275" s="218"/>
      <c r="BI275" s="218"/>
      <c r="BJ275" s="218"/>
      <c r="BK275" s="218"/>
    </row>
    <row r="276" spans="1:63" s="216" customFormat="1" x14ac:dyDescent="0.15">
      <c r="A276" s="288"/>
      <c r="B276" s="28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8"/>
      <c r="AZ276" s="218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</row>
    <row r="277" spans="1:63" s="216" customFormat="1" x14ac:dyDescent="0.15">
      <c r="A277" s="288"/>
      <c r="B277" s="28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8"/>
      <c r="AZ277" s="218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</row>
    <row r="278" spans="1:63" s="216" customFormat="1" x14ac:dyDescent="0.15">
      <c r="A278" s="288"/>
      <c r="B278" s="28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</row>
    <row r="279" spans="1:63" s="216" customFormat="1" x14ac:dyDescent="0.15">
      <c r="A279" s="288"/>
      <c r="B279" s="28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18"/>
      <c r="AX279" s="218"/>
      <c r="AY279" s="218"/>
      <c r="AZ279" s="218"/>
      <c r="BA279" s="218"/>
      <c r="BB279" s="218"/>
      <c r="BC279" s="218"/>
      <c r="BD279" s="218"/>
      <c r="BE279" s="218"/>
      <c r="BF279" s="218"/>
      <c r="BG279" s="218"/>
      <c r="BH279" s="218"/>
      <c r="BI279" s="218"/>
      <c r="BJ279" s="218"/>
      <c r="BK279" s="218"/>
    </row>
    <row r="280" spans="1:63" s="216" customFormat="1" x14ac:dyDescent="0.15">
      <c r="A280" s="288"/>
      <c r="B280" s="28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  <c r="BA280" s="218"/>
      <c r="BB280" s="218"/>
      <c r="BC280" s="218"/>
      <c r="BD280" s="218"/>
      <c r="BE280" s="218"/>
      <c r="BF280" s="218"/>
      <c r="BG280" s="218"/>
      <c r="BH280" s="218"/>
      <c r="BI280" s="218"/>
      <c r="BJ280" s="218"/>
      <c r="BK280" s="218"/>
    </row>
    <row r="281" spans="1:63" s="216" customFormat="1" x14ac:dyDescent="0.15">
      <c r="A281" s="288"/>
      <c r="B281" s="28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</row>
    <row r="282" spans="1:63" s="216" customFormat="1" x14ac:dyDescent="0.15">
      <c r="A282" s="288"/>
      <c r="B282" s="28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AN282" s="218"/>
      <c r="AO282" s="218"/>
      <c r="AP282" s="218"/>
      <c r="AQ282" s="218"/>
      <c r="AR282" s="218"/>
      <c r="AS282" s="218"/>
      <c r="AT282" s="218"/>
      <c r="AU282" s="218"/>
      <c r="AV282" s="218"/>
      <c r="AW282" s="218"/>
      <c r="AX282" s="218"/>
      <c r="AY282" s="218"/>
      <c r="AZ282" s="218"/>
      <c r="BA282" s="218"/>
      <c r="BB282" s="218"/>
      <c r="BC282" s="218"/>
      <c r="BD282" s="218"/>
      <c r="BE282" s="218"/>
      <c r="BF282" s="218"/>
      <c r="BG282" s="218"/>
      <c r="BH282" s="218"/>
      <c r="BI282" s="218"/>
      <c r="BJ282" s="218"/>
      <c r="BK282" s="218"/>
    </row>
    <row r="283" spans="1:63" s="216" customFormat="1" x14ac:dyDescent="0.15">
      <c r="A283" s="288"/>
      <c r="B283" s="28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</row>
    <row r="284" spans="1:63" s="216" customFormat="1" x14ac:dyDescent="0.15">
      <c r="A284" s="288"/>
      <c r="B284" s="28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</row>
    <row r="285" spans="1:63" s="216" customFormat="1" x14ac:dyDescent="0.15">
      <c r="A285" s="288"/>
      <c r="B285" s="28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</row>
    <row r="286" spans="1:63" s="216" customFormat="1" x14ac:dyDescent="0.15">
      <c r="A286" s="288"/>
      <c r="B286" s="28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</row>
    <row r="287" spans="1:63" s="216" customFormat="1" x14ac:dyDescent="0.15">
      <c r="A287" s="288"/>
      <c r="B287" s="28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</row>
    <row r="288" spans="1:63" s="216" customFormat="1" x14ac:dyDescent="0.15">
      <c r="A288" s="288"/>
      <c r="B288" s="28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</row>
    <row r="289" spans="1:63" s="216" customFormat="1" x14ac:dyDescent="0.15">
      <c r="A289" s="288"/>
      <c r="B289" s="28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8"/>
      <c r="BG289" s="218"/>
      <c r="BH289" s="218"/>
      <c r="BI289" s="218"/>
      <c r="BJ289" s="218"/>
      <c r="BK289" s="218"/>
    </row>
    <row r="290" spans="1:63" s="216" customFormat="1" x14ac:dyDescent="0.15">
      <c r="A290" s="288"/>
      <c r="B290" s="28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</row>
    <row r="291" spans="1:63" s="216" customFormat="1" x14ac:dyDescent="0.15">
      <c r="A291" s="288"/>
      <c r="B291" s="28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  <c r="AN291" s="218"/>
      <c r="AO291" s="218"/>
      <c r="AP291" s="218"/>
      <c r="AQ291" s="218"/>
      <c r="AR291" s="218"/>
      <c r="AS291" s="218"/>
      <c r="AT291" s="218"/>
      <c r="AU291" s="218"/>
      <c r="AV291" s="218"/>
      <c r="AW291" s="218"/>
      <c r="AX291" s="218"/>
      <c r="AY291" s="218"/>
      <c r="AZ291" s="218"/>
      <c r="BA291" s="218"/>
      <c r="BB291" s="218"/>
      <c r="BC291" s="218"/>
      <c r="BD291" s="218"/>
      <c r="BE291" s="218"/>
      <c r="BF291" s="218"/>
      <c r="BG291" s="218"/>
      <c r="BH291" s="218"/>
      <c r="BI291" s="218"/>
      <c r="BJ291" s="218"/>
      <c r="BK291" s="218"/>
    </row>
    <row r="292" spans="1:63" s="216" customFormat="1" x14ac:dyDescent="0.15">
      <c r="A292" s="288"/>
      <c r="B292" s="28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8"/>
      <c r="BG292" s="218"/>
      <c r="BH292" s="218"/>
      <c r="BI292" s="218"/>
      <c r="BJ292" s="218"/>
      <c r="BK292" s="218"/>
    </row>
    <row r="293" spans="1:63" s="216" customFormat="1" x14ac:dyDescent="0.15">
      <c r="A293" s="288"/>
      <c r="B293" s="28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218"/>
      <c r="BG293" s="218"/>
      <c r="BH293" s="218"/>
      <c r="BI293" s="218"/>
      <c r="BJ293" s="218"/>
      <c r="BK293" s="218"/>
    </row>
    <row r="294" spans="1:63" s="216" customFormat="1" x14ac:dyDescent="0.15">
      <c r="A294" s="288"/>
      <c r="B294" s="28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</row>
    <row r="295" spans="1:63" s="216" customFormat="1" x14ac:dyDescent="0.15">
      <c r="A295" s="288"/>
      <c r="B295" s="28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18"/>
      <c r="AX295" s="218"/>
      <c r="AY295" s="218"/>
      <c r="AZ295" s="218"/>
      <c r="BA295" s="218"/>
      <c r="BB295" s="218"/>
      <c r="BC295" s="218"/>
      <c r="BD295" s="218"/>
      <c r="BE295" s="218"/>
      <c r="BF295" s="218"/>
      <c r="BG295" s="218"/>
      <c r="BH295" s="218"/>
      <c r="BI295" s="218"/>
      <c r="BJ295" s="218"/>
      <c r="BK295" s="218"/>
    </row>
    <row r="296" spans="1:63" s="216" customFormat="1" x14ac:dyDescent="0.15">
      <c r="A296" s="288"/>
      <c r="B296" s="28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</row>
  </sheetData>
  <mergeCells count="118">
    <mergeCell ref="N140:N141"/>
    <mergeCell ref="N142:N143"/>
    <mergeCell ref="N128:N129"/>
    <mergeCell ref="N130:N131"/>
    <mergeCell ref="N132:N133"/>
    <mergeCell ref="N134:N135"/>
    <mergeCell ref="N31:N36"/>
    <mergeCell ref="N37:N42"/>
    <mergeCell ref="N43:N48"/>
    <mergeCell ref="N49:N54"/>
    <mergeCell ref="N55:N60"/>
    <mergeCell ref="N61:N66"/>
    <mergeCell ref="N123:N124"/>
    <mergeCell ref="N115:N116"/>
    <mergeCell ref="A146:A147"/>
    <mergeCell ref="O21:P21"/>
    <mergeCell ref="N25:N30"/>
    <mergeCell ref="N146:N147"/>
    <mergeCell ref="A24:Q24"/>
    <mergeCell ref="A106:Q106"/>
    <mergeCell ref="A127:Q127"/>
    <mergeCell ref="A138:A139"/>
    <mergeCell ref="A140:A141"/>
    <mergeCell ref="N136:N137"/>
    <mergeCell ref="N67:N72"/>
    <mergeCell ref="A85:Q85"/>
    <mergeCell ref="A142:A143"/>
    <mergeCell ref="A144:A145"/>
    <mergeCell ref="A130:A131"/>
    <mergeCell ref="A132:A133"/>
    <mergeCell ref="A134:A135"/>
    <mergeCell ref="A136:A137"/>
    <mergeCell ref="N144:N145"/>
    <mergeCell ref="N138:N139"/>
    <mergeCell ref="A121:A122"/>
    <mergeCell ref="A123:A124"/>
    <mergeCell ref="A125:A126"/>
    <mergeCell ref="A128:A129"/>
    <mergeCell ref="A119:A120"/>
    <mergeCell ref="A107:A108"/>
    <mergeCell ref="N73:N78"/>
    <mergeCell ref="N79:N84"/>
    <mergeCell ref="N86:N87"/>
    <mergeCell ref="N88:N89"/>
    <mergeCell ref="N90:N91"/>
    <mergeCell ref="A98:A99"/>
    <mergeCell ref="A100:A101"/>
    <mergeCell ref="N96:N97"/>
    <mergeCell ref="A86:A87"/>
    <mergeCell ref="A88:A89"/>
    <mergeCell ref="A90:A91"/>
    <mergeCell ref="A92:A93"/>
    <mergeCell ref="A94:A95"/>
    <mergeCell ref="A96:A97"/>
    <mergeCell ref="N109:N110"/>
    <mergeCell ref="N111:N112"/>
    <mergeCell ref="N113:N114"/>
    <mergeCell ref="N117:N118"/>
    <mergeCell ref="A25:A30"/>
    <mergeCell ref="A31:A36"/>
    <mergeCell ref="A37:A42"/>
    <mergeCell ref="A109:A110"/>
    <mergeCell ref="A111:A112"/>
    <mergeCell ref="A113:A114"/>
    <mergeCell ref="A115:A116"/>
    <mergeCell ref="A117:A118"/>
    <mergeCell ref="C17:E17"/>
    <mergeCell ref="A49:A54"/>
    <mergeCell ref="A55:A60"/>
    <mergeCell ref="A61:A66"/>
    <mergeCell ref="A67:A72"/>
    <mergeCell ref="A73:A78"/>
    <mergeCell ref="A102:A103"/>
    <mergeCell ref="A104:A105"/>
    <mergeCell ref="A79:A84"/>
    <mergeCell ref="B22:B23"/>
    <mergeCell ref="C22:C23"/>
    <mergeCell ref="D22:D23"/>
    <mergeCell ref="E22:E23"/>
    <mergeCell ref="F17:G17"/>
    <mergeCell ref="I17:K17"/>
    <mergeCell ref="M17:O17"/>
    <mergeCell ref="L9:O9"/>
    <mergeCell ref="L10:O10"/>
    <mergeCell ref="N125:N126"/>
    <mergeCell ref="L14:O14"/>
    <mergeCell ref="L15:O15"/>
    <mergeCell ref="N107:N108"/>
    <mergeCell ref="N98:N99"/>
    <mergeCell ref="N119:N120"/>
    <mergeCell ref="N121:N122"/>
    <mergeCell ref="N100:N101"/>
    <mergeCell ref="N102:N103"/>
    <mergeCell ref="N104:N105"/>
    <mergeCell ref="N92:N93"/>
    <mergeCell ref="N94:N95"/>
    <mergeCell ref="A19:Q19"/>
    <mergeCell ref="P22:P23"/>
    <mergeCell ref="Q22:Q23"/>
    <mergeCell ref="O22:O23"/>
    <mergeCell ref="A22:A23"/>
    <mergeCell ref="L13:O13"/>
    <mergeCell ref="A43:A48"/>
    <mergeCell ref="A1:E1"/>
    <mergeCell ref="H1:Y1"/>
    <mergeCell ref="A2:E2"/>
    <mergeCell ref="A3:E3"/>
    <mergeCell ref="F3:G4"/>
    <mergeCell ref="A4:B4"/>
    <mergeCell ref="H11:I11"/>
    <mergeCell ref="L11:O11"/>
    <mergeCell ref="L12:O12"/>
    <mergeCell ref="A5:F5"/>
    <mergeCell ref="H5:I5"/>
    <mergeCell ref="K5:O5"/>
    <mergeCell ref="L6:O6"/>
    <mergeCell ref="L7:O7"/>
    <mergeCell ref="L8:O8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8"/>
  <sheetViews>
    <sheetView topLeftCell="A4" workbookViewId="0">
      <selection activeCell="D2" sqref="D2:E3"/>
    </sheetView>
  </sheetViews>
  <sheetFormatPr baseColWidth="10" defaultColWidth="9.1640625" defaultRowHeight="13" x14ac:dyDescent="0.15"/>
  <cols>
    <col min="1" max="2" width="9.1640625" style="293"/>
    <col min="3" max="3" width="22.33203125" style="197" customWidth="1"/>
    <col min="4" max="4" width="15.5" style="203" customWidth="1"/>
    <col min="5" max="5" width="13.6640625" style="203" customWidth="1"/>
    <col min="6" max="6" width="14.1640625" style="203" customWidth="1"/>
    <col min="7" max="7" width="10.1640625" style="196" customWidth="1"/>
    <col min="8" max="8" width="2.5" style="196" customWidth="1"/>
    <col min="9" max="9" width="13.83203125" style="197" customWidth="1"/>
    <col min="10" max="10" width="3.1640625" style="201" customWidth="1"/>
    <col min="11" max="11" width="19.1640625" style="197" customWidth="1"/>
    <col min="12" max="12" width="23.5" style="197" customWidth="1"/>
    <col min="13" max="17" width="9.1640625" style="293"/>
    <col min="18" max="16384" width="9.1640625" style="197"/>
  </cols>
  <sheetData>
    <row r="1" spans="1:17" s="293" customFormat="1" x14ac:dyDescent="0.15">
      <c r="A1" s="293" t="s">
        <v>662</v>
      </c>
      <c r="D1" s="457"/>
      <c r="E1" s="457"/>
      <c r="F1" s="457"/>
      <c r="G1" s="196"/>
      <c r="H1" s="196"/>
      <c r="J1" s="201"/>
    </row>
    <row r="2" spans="1:17" s="293" customFormat="1" x14ac:dyDescent="0.15">
      <c r="A2" s="505" t="s">
        <v>760</v>
      </c>
      <c r="D2" s="626" t="s">
        <v>675</v>
      </c>
      <c r="E2" s="626"/>
      <c r="F2" s="457"/>
      <c r="G2" s="196"/>
      <c r="H2" s="196"/>
      <c r="J2" s="201"/>
    </row>
    <row r="3" spans="1:17" s="293" customFormat="1" ht="48.75" customHeight="1" x14ac:dyDescent="0.15">
      <c r="A3" s="635" t="s">
        <v>687</v>
      </c>
      <c r="B3" s="635"/>
      <c r="C3" s="635"/>
      <c r="D3" s="627"/>
      <c r="E3" s="627"/>
      <c r="F3" s="457"/>
      <c r="G3" s="628" t="s">
        <v>676</v>
      </c>
      <c r="H3" s="532"/>
      <c r="I3" s="532"/>
      <c r="J3" s="532"/>
      <c r="K3" s="532"/>
    </row>
    <row r="4" spans="1:17" s="122" customFormat="1" ht="28" x14ac:dyDescent="0.15">
      <c r="A4" s="294"/>
      <c r="B4" s="294"/>
      <c r="C4" s="630" t="s">
        <v>621</v>
      </c>
      <c r="D4" s="631"/>
      <c r="E4" s="631"/>
      <c r="F4" s="632"/>
      <c r="G4" s="191"/>
      <c r="H4" s="191"/>
      <c r="I4" s="192" t="s">
        <v>435</v>
      </c>
      <c r="J4" s="119"/>
      <c r="K4" s="622" t="s">
        <v>436</v>
      </c>
      <c r="L4" s="623"/>
      <c r="M4" s="294"/>
      <c r="N4" s="294"/>
      <c r="O4" s="294"/>
      <c r="P4" s="294"/>
      <c r="Q4" s="294"/>
    </row>
    <row r="5" spans="1:17" s="122" customFormat="1" ht="28" x14ac:dyDescent="0.15">
      <c r="A5" s="294"/>
      <c r="B5" s="294"/>
      <c r="C5" s="629" t="s">
        <v>433</v>
      </c>
      <c r="D5" s="629"/>
      <c r="E5" s="629"/>
      <c r="F5" s="193" t="s">
        <v>432</v>
      </c>
      <c r="G5" s="120"/>
      <c r="H5" s="120"/>
      <c r="I5" s="193" t="s">
        <v>431</v>
      </c>
      <c r="J5" s="119"/>
      <c r="K5" s="633" t="s">
        <v>434</v>
      </c>
      <c r="L5" s="634"/>
      <c r="M5" s="294"/>
      <c r="N5" s="294"/>
      <c r="O5" s="294"/>
      <c r="P5" s="294"/>
      <c r="Q5" s="294"/>
    </row>
    <row r="6" spans="1:17" x14ac:dyDescent="0.15">
      <c r="C6" s="163" t="s">
        <v>412</v>
      </c>
      <c r="D6" s="194" t="s">
        <v>413</v>
      </c>
      <c r="E6" s="194" t="s">
        <v>75</v>
      </c>
      <c r="F6" s="195" t="s">
        <v>414</v>
      </c>
      <c r="I6" s="195" t="s">
        <v>414</v>
      </c>
      <c r="J6" s="196"/>
      <c r="K6" s="195" t="s">
        <v>414</v>
      </c>
      <c r="L6" s="163" t="s">
        <v>412</v>
      </c>
    </row>
    <row r="7" spans="1:17" x14ac:dyDescent="0.15">
      <c r="C7" s="198" t="s">
        <v>415</v>
      </c>
      <c r="D7" s="470">
        <v>8.7799999999999994</v>
      </c>
      <c r="E7" s="194"/>
      <c r="F7" s="199">
        <f>D7*2.205</f>
        <v>19.3599</v>
      </c>
      <c r="G7" s="200"/>
      <c r="H7" s="200"/>
      <c r="I7" s="214"/>
      <c r="K7" s="202">
        <f>IF(I7&gt;0, I7, F7)</f>
        <v>19.3599</v>
      </c>
      <c r="L7" s="198" t="s">
        <v>415</v>
      </c>
    </row>
    <row r="8" spans="1:17" x14ac:dyDescent="0.15">
      <c r="C8" s="198" t="s">
        <v>420</v>
      </c>
      <c r="D8" s="470">
        <v>10.210000000000001</v>
      </c>
      <c r="E8" s="194"/>
      <c r="F8" s="199">
        <f t="shared" ref="F8:F21" si="0">D8*2.205</f>
        <v>22.513050000000003</v>
      </c>
      <c r="G8" s="200"/>
      <c r="H8" s="200"/>
      <c r="I8" s="214"/>
      <c r="K8" s="202">
        <f t="shared" ref="K8:K21" si="1">IF(I8&gt;0, I8, F8)</f>
        <v>22.513050000000003</v>
      </c>
      <c r="L8" s="198" t="s">
        <v>420</v>
      </c>
    </row>
    <row r="9" spans="1:17" x14ac:dyDescent="0.15">
      <c r="C9" s="198" t="s">
        <v>416</v>
      </c>
      <c r="D9" s="470">
        <v>8.31</v>
      </c>
      <c r="E9" s="194"/>
      <c r="F9" s="199">
        <f t="shared" si="0"/>
        <v>18.323550000000001</v>
      </c>
      <c r="G9" s="200"/>
      <c r="H9" s="200"/>
      <c r="I9" s="214"/>
      <c r="K9" s="202">
        <f t="shared" si="1"/>
        <v>18.323550000000001</v>
      </c>
      <c r="L9" s="198" t="s">
        <v>416</v>
      </c>
    </row>
    <row r="10" spans="1:17" x14ac:dyDescent="0.15">
      <c r="C10" s="198" t="s">
        <v>417</v>
      </c>
      <c r="D10" s="470">
        <v>9.75</v>
      </c>
      <c r="E10" s="194"/>
      <c r="F10" s="199">
        <f t="shared" si="0"/>
        <v>21.498750000000001</v>
      </c>
      <c r="G10" s="200"/>
      <c r="H10" s="200"/>
      <c r="I10" s="214"/>
      <c r="K10" s="202">
        <f t="shared" si="1"/>
        <v>21.498750000000001</v>
      </c>
      <c r="L10" s="198" t="s">
        <v>417</v>
      </c>
    </row>
    <row r="11" spans="1:17" x14ac:dyDescent="0.15">
      <c r="C11" s="198" t="s">
        <v>418</v>
      </c>
      <c r="D11" s="470">
        <v>10.15</v>
      </c>
      <c r="E11" s="194"/>
      <c r="F11" s="199">
        <f t="shared" si="0"/>
        <v>22.380750000000003</v>
      </c>
      <c r="G11" s="200"/>
      <c r="H11" s="200"/>
      <c r="I11" s="214"/>
      <c r="K11" s="202">
        <f t="shared" si="1"/>
        <v>22.380750000000003</v>
      </c>
      <c r="L11" s="198" t="s">
        <v>418</v>
      </c>
    </row>
    <row r="12" spans="1:17" x14ac:dyDescent="0.15">
      <c r="C12" s="198" t="s">
        <v>419</v>
      </c>
      <c r="D12" s="470">
        <v>10.210000000000001</v>
      </c>
      <c r="E12" s="194"/>
      <c r="F12" s="199">
        <f t="shared" si="0"/>
        <v>22.513050000000003</v>
      </c>
      <c r="G12" s="200"/>
      <c r="H12" s="200"/>
      <c r="I12" s="214"/>
      <c r="K12" s="202">
        <f t="shared" si="1"/>
        <v>22.513050000000003</v>
      </c>
      <c r="L12" s="198" t="s">
        <v>419</v>
      </c>
    </row>
    <row r="13" spans="1:17" x14ac:dyDescent="0.15">
      <c r="C13" s="198" t="s">
        <v>421</v>
      </c>
      <c r="D13" s="470">
        <v>9.4499999999999993</v>
      </c>
      <c r="E13" s="194">
        <v>1</v>
      </c>
      <c r="F13" s="199">
        <f t="shared" si="0"/>
        <v>20.837249999999997</v>
      </c>
      <c r="G13" s="200"/>
      <c r="H13" s="200"/>
      <c r="I13" s="214"/>
      <c r="K13" s="202">
        <f t="shared" si="1"/>
        <v>20.837249999999997</v>
      </c>
      <c r="L13" s="198" t="s">
        <v>421</v>
      </c>
    </row>
    <row r="14" spans="1:17" x14ac:dyDescent="0.15">
      <c r="C14" s="198" t="s">
        <v>422</v>
      </c>
      <c r="D14" s="470">
        <v>5.75</v>
      </c>
      <c r="E14" s="194">
        <v>1</v>
      </c>
      <c r="F14" s="199">
        <f t="shared" si="0"/>
        <v>12.678750000000001</v>
      </c>
      <c r="G14" s="200"/>
      <c r="H14" s="200"/>
      <c r="I14" s="214"/>
      <c r="K14" s="202">
        <f t="shared" si="1"/>
        <v>12.678750000000001</v>
      </c>
      <c r="L14" s="198" t="s">
        <v>422</v>
      </c>
    </row>
    <row r="15" spans="1:17" x14ac:dyDescent="0.15">
      <c r="C15" s="198" t="s">
        <v>423</v>
      </c>
      <c r="D15" s="471">
        <v>4.0999999999999996</v>
      </c>
      <c r="E15" s="194">
        <v>2</v>
      </c>
      <c r="F15" s="199">
        <f t="shared" si="0"/>
        <v>9.0404999999999998</v>
      </c>
      <c r="G15" s="200"/>
      <c r="H15" s="200"/>
      <c r="I15" s="214"/>
      <c r="K15" s="202">
        <f t="shared" si="1"/>
        <v>9.0404999999999998</v>
      </c>
      <c r="L15" s="198" t="s">
        <v>423</v>
      </c>
    </row>
    <row r="16" spans="1:17" x14ac:dyDescent="0.15">
      <c r="C16" s="198" t="s">
        <v>424</v>
      </c>
      <c r="D16" s="471">
        <v>4.46</v>
      </c>
      <c r="E16" s="194">
        <v>1</v>
      </c>
      <c r="F16" s="199">
        <f t="shared" si="0"/>
        <v>9.8343000000000007</v>
      </c>
      <c r="G16" s="200"/>
      <c r="H16" s="200"/>
      <c r="I16" s="214"/>
      <c r="K16" s="202">
        <f t="shared" si="1"/>
        <v>9.8343000000000007</v>
      </c>
      <c r="L16" s="198" t="s">
        <v>424</v>
      </c>
    </row>
    <row r="17" spans="1:17" x14ac:dyDescent="0.15">
      <c r="C17" s="198" t="s">
        <v>425</v>
      </c>
      <c r="D17" s="470">
        <v>5.68</v>
      </c>
      <c r="E17" s="194">
        <v>1</v>
      </c>
      <c r="F17" s="199">
        <f t="shared" si="0"/>
        <v>12.5244</v>
      </c>
      <c r="G17" s="200"/>
      <c r="H17" s="200"/>
      <c r="I17" s="214"/>
      <c r="K17" s="202">
        <f t="shared" si="1"/>
        <v>12.5244</v>
      </c>
      <c r="L17" s="198" t="s">
        <v>425</v>
      </c>
    </row>
    <row r="18" spans="1:17" x14ac:dyDescent="0.15">
      <c r="C18" s="198" t="s">
        <v>51</v>
      </c>
      <c r="D18" s="470">
        <v>5.72</v>
      </c>
      <c r="E18" s="194"/>
      <c r="F18" s="199">
        <f t="shared" si="0"/>
        <v>12.6126</v>
      </c>
      <c r="G18" s="200"/>
      <c r="H18" s="200"/>
      <c r="I18" s="214"/>
      <c r="K18" s="202">
        <f t="shared" si="1"/>
        <v>12.6126</v>
      </c>
      <c r="L18" s="198" t="s">
        <v>51</v>
      </c>
    </row>
    <row r="19" spans="1:17" x14ac:dyDescent="0.15">
      <c r="C19" s="198" t="s">
        <v>426</v>
      </c>
      <c r="D19" s="470">
        <v>4.1100000000000003</v>
      </c>
      <c r="E19" s="194"/>
      <c r="F19" s="199">
        <f t="shared" si="0"/>
        <v>9.0625500000000017</v>
      </c>
      <c r="G19" s="200"/>
      <c r="H19" s="200"/>
      <c r="I19" s="214"/>
      <c r="K19" s="202">
        <f t="shared" si="1"/>
        <v>9.0625500000000017</v>
      </c>
      <c r="L19" s="198" t="s">
        <v>426</v>
      </c>
    </row>
    <row r="20" spans="1:17" x14ac:dyDescent="0.15">
      <c r="C20" s="198" t="s">
        <v>427</v>
      </c>
      <c r="D20" s="470">
        <v>6.3</v>
      </c>
      <c r="E20" s="194"/>
      <c r="F20" s="199">
        <f t="shared" si="0"/>
        <v>13.891500000000001</v>
      </c>
      <c r="G20" s="200"/>
      <c r="H20" s="200"/>
      <c r="I20" s="214"/>
      <c r="K20" s="202">
        <f t="shared" si="1"/>
        <v>13.891500000000001</v>
      </c>
      <c r="L20" s="198" t="s">
        <v>427</v>
      </c>
    </row>
    <row r="21" spans="1:17" x14ac:dyDescent="0.15">
      <c r="C21" s="198" t="s">
        <v>428</v>
      </c>
      <c r="D21" s="470">
        <v>6.54</v>
      </c>
      <c r="E21" s="194"/>
      <c r="F21" s="199">
        <f t="shared" si="0"/>
        <v>14.4207</v>
      </c>
      <c r="G21" s="200"/>
      <c r="H21" s="200"/>
      <c r="I21" s="214"/>
      <c r="K21" s="202">
        <f t="shared" si="1"/>
        <v>14.4207</v>
      </c>
      <c r="L21" s="198" t="s">
        <v>428</v>
      </c>
    </row>
    <row r="22" spans="1:17" s="293" customFormat="1" x14ac:dyDescent="0.15">
      <c r="D22" s="457"/>
      <c r="E22" s="457"/>
      <c r="F22" s="457"/>
      <c r="G22" s="196"/>
      <c r="H22" s="196"/>
      <c r="J22" s="201"/>
    </row>
    <row r="23" spans="1:17" s="293" customFormat="1" x14ac:dyDescent="0.15">
      <c r="C23" s="293" t="s">
        <v>429</v>
      </c>
      <c r="D23" s="457"/>
      <c r="E23" s="457"/>
      <c r="F23" s="457"/>
      <c r="G23" s="196"/>
      <c r="H23" s="196"/>
      <c r="J23" s="201"/>
    </row>
    <row r="24" spans="1:17" s="293" customFormat="1" x14ac:dyDescent="0.15">
      <c r="C24" s="293" t="s">
        <v>430</v>
      </c>
      <c r="D24" s="457"/>
      <c r="E24" s="457"/>
      <c r="F24" s="457"/>
      <c r="G24" s="196"/>
      <c r="H24" s="196"/>
      <c r="J24" s="201"/>
    </row>
    <row r="25" spans="1:17" s="293" customFormat="1" x14ac:dyDescent="0.15">
      <c r="D25" s="457"/>
      <c r="E25" s="457"/>
      <c r="F25" s="457"/>
      <c r="G25" s="196"/>
      <c r="H25" s="196"/>
      <c r="J25" s="201"/>
    </row>
    <row r="26" spans="1:17" s="293" customFormat="1" x14ac:dyDescent="0.15">
      <c r="D26" s="457"/>
      <c r="E26" s="457"/>
      <c r="F26" s="457"/>
      <c r="G26" s="196"/>
      <c r="H26" s="196"/>
      <c r="J26" s="201"/>
    </row>
    <row r="27" spans="1:17" s="293" customFormat="1" x14ac:dyDescent="0.15">
      <c r="D27" s="457"/>
      <c r="E27" s="457"/>
      <c r="F27" s="457"/>
      <c r="G27" s="196"/>
      <c r="H27" s="196"/>
      <c r="J27" s="201"/>
    </row>
    <row r="28" spans="1:17" ht="28" x14ac:dyDescent="0.15">
      <c r="C28" s="624" t="s">
        <v>622</v>
      </c>
      <c r="D28" s="625"/>
      <c r="E28" s="625"/>
      <c r="F28" s="625"/>
      <c r="G28" s="625"/>
      <c r="I28" s="192" t="s">
        <v>435</v>
      </c>
      <c r="J28" s="119"/>
      <c r="K28" s="622" t="s">
        <v>436</v>
      </c>
      <c r="L28" s="623"/>
    </row>
    <row r="29" spans="1:17" s="122" customFormat="1" ht="28" x14ac:dyDescent="0.15">
      <c r="A29" s="294"/>
      <c r="B29" s="294"/>
      <c r="C29" s="205" t="s">
        <v>437</v>
      </c>
      <c r="D29" s="193" t="s">
        <v>389</v>
      </c>
      <c r="E29" s="193" t="s">
        <v>442</v>
      </c>
      <c r="F29" s="193" t="s">
        <v>75</v>
      </c>
      <c r="G29" s="193" t="s">
        <v>443</v>
      </c>
      <c r="H29" s="120"/>
      <c r="I29" s="193" t="s">
        <v>443</v>
      </c>
      <c r="J29" s="119"/>
      <c r="K29" s="193" t="s">
        <v>443</v>
      </c>
      <c r="L29" s="205" t="s">
        <v>437</v>
      </c>
      <c r="M29" s="294"/>
      <c r="N29" s="294"/>
      <c r="O29" s="294"/>
      <c r="P29" s="294"/>
      <c r="Q29" s="294"/>
    </row>
    <row r="30" spans="1:17" ht="28" x14ac:dyDescent="0.15">
      <c r="C30" s="198" t="s">
        <v>438</v>
      </c>
      <c r="D30" s="206" t="s">
        <v>1</v>
      </c>
      <c r="E30" s="194">
        <v>3.3300000000000003E-2</v>
      </c>
      <c r="F30" s="494" t="s">
        <v>749</v>
      </c>
      <c r="G30" s="207">
        <f>E30/453.6</f>
        <v>7.341269841269841E-5</v>
      </c>
      <c r="I30" s="214"/>
      <c r="K30" s="208">
        <f>IF(I30&gt;0, I30, G30)</f>
        <v>7.341269841269841E-5</v>
      </c>
      <c r="L30" s="198" t="s">
        <v>438</v>
      </c>
    </row>
    <row r="31" spans="1:17" x14ac:dyDescent="0.15">
      <c r="C31" s="198" t="s">
        <v>439</v>
      </c>
      <c r="D31" s="206" t="s">
        <v>1</v>
      </c>
      <c r="E31" s="488">
        <v>0.5</v>
      </c>
      <c r="F31" s="489" t="s">
        <v>746</v>
      </c>
      <c r="G31" s="207">
        <f t="shared" ref="G31:G38" si="2">E31/453.6</f>
        <v>1.1022927689594356E-3</v>
      </c>
      <c r="I31" s="214"/>
      <c r="K31" s="208">
        <f t="shared" ref="K31:K38" si="3">IF(I31&gt;0, I31, G31)</f>
        <v>1.1022927689594356E-3</v>
      </c>
      <c r="L31" s="198" t="s">
        <v>439</v>
      </c>
    </row>
    <row r="32" spans="1:17" x14ac:dyDescent="0.15">
      <c r="C32" s="198" t="s">
        <v>439</v>
      </c>
      <c r="D32" s="206" t="s">
        <v>2</v>
      </c>
      <c r="E32" s="488">
        <v>0.57999999999999996</v>
      </c>
      <c r="F32" s="489" t="s">
        <v>746</v>
      </c>
      <c r="G32" s="207">
        <f t="shared" si="2"/>
        <v>1.2786596119929452E-3</v>
      </c>
      <c r="I32" s="214"/>
      <c r="K32" s="208">
        <f t="shared" si="3"/>
        <v>1.2786596119929452E-3</v>
      </c>
      <c r="L32" s="198" t="s">
        <v>439</v>
      </c>
    </row>
    <row r="33" spans="1:17" s="122" customFormat="1" ht="28" x14ac:dyDescent="0.15">
      <c r="A33" s="294"/>
      <c r="B33" s="294"/>
      <c r="C33" s="209" t="s">
        <v>448</v>
      </c>
      <c r="D33" s="210" t="s">
        <v>51</v>
      </c>
      <c r="E33" s="493">
        <v>3.6999999999999998E-2</v>
      </c>
      <c r="F33" s="494" t="s">
        <v>748</v>
      </c>
      <c r="G33" s="212">
        <f t="shared" si="2"/>
        <v>8.1569664902998224E-5</v>
      </c>
      <c r="H33" s="120"/>
      <c r="I33" s="215"/>
      <c r="J33" s="119"/>
      <c r="K33" s="213">
        <f t="shared" si="3"/>
        <v>8.1569664902998224E-5</v>
      </c>
      <c r="L33" s="209" t="s">
        <v>448</v>
      </c>
      <c r="M33" s="294"/>
      <c r="N33" s="294"/>
      <c r="O33" s="294"/>
      <c r="P33" s="294"/>
      <c r="Q33" s="294"/>
    </row>
    <row r="34" spans="1:17" x14ac:dyDescent="0.15">
      <c r="C34" s="198" t="s">
        <v>4</v>
      </c>
      <c r="D34" s="206" t="s">
        <v>2</v>
      </c>
      <c r="E34" s="488">
        <v>0.8</v>
      </c>
      <c r="F34" s="489" t="s">
        <v>746</v>
      </c>
      <c r="G34" s="207">
        <f t="shared" si="2"/>
        <v>1.7636684303350969E-3</v>
      </c>
      <c r="I34" s="214"/>
      <c r="K34" s="208">
        <f t="shared" si="3"/>
        <v>1.7636684303350969E-3</v>
      </c>
      <c r="L34" s="198" t="s">
        <v>4</v>
      </c>
    </row>
    <row r="35" spans="1:17" x14ac:dyDescent="0.15">
      <c r="C35" s="198" t="s">
        <v>5</v>
      </c>
      <c r="D35" s="206" t="s">
        <v>2</v>
      </c>
      <c r="E35" s="491">
        <v>0.06</v>
      </c>
      <c r="F35" s="489" t="s">
        <v>746</v>
      </c>
      <c r="G35" s="207">
        <f t="shared" si="2"/>
        <v>1.3227513227513226E-4</v>
      </c>
      <c r="I35" s="214"/>
      <c r="K35" s="208">
        <f t="shared" si="3"/>
        <v>1.3227513227513226E-4</v>
      </c>
      <c r="L35" s="198" t="s">
        <v>5</v>
      </c>
    </row>
    <row r="36" spans="1:17" x14ac:dyDescent="0.15">
      <c r="C36" s="198" t="s">
        <v>5</v>
      </c>
      <c r="D36" s="206" t="s">
        <v>440</v>
      </c>
      <c r="E36" s="490">
        <v>0.11</v>
      </c>
      <c r="F36" s="489" t="s">
        <v>746</v>
      </c>
      <c r="G36" s="207">
        <f t="shared" si="2"/>
        <v>2.4250440917107581E-4</v>
      </c>
      <c r="I36" s="214"/>
      <c r="K36" s="208">
        <f t="shared" si="3"/>
        <v>2.4250440917107581E-4</v>
      </c>
      <c r="L36" s="198" t="s">
        <v>5</v>
      </c>
    </row>
    <row r="37" spans="1:17" x14ac:dyDescent="0.15">
      <c r="C37" s="198" t="s">
        <v>6</v>
      </c>
      <c r="D37" s="206" t="s">
        <v>441</v>
      </c>
      <c r="E37" s="194">
        <v>0.27</v>
      </c>
      <c r="F37" s="489" t="s">
        <v>746</v>
      </c>
      <c r="G37" s="207">
        <f t="shared" si="2"/>
        <v>5.9523809523809529E-4</v>
      </c>
      <c r="I37" s="214"/>
      <c r="K37" s="208">
        <f t="shared" si="3"/>
        <v>5.9523809523809529E-4</v>
      </c>
      <c r="L37" s="198" t="s">
        <v>6</v>
      </c>
    </row>
    <row r="38" spans="1:17" x14ac:dyDescent="0.15">
      <c r="C38" s="198" t="s">
        <v>6</v>
      </c>
      <c r="D38" s="206" t="s">
        <v>416</v>
      </c>
      <c r="E38" s="490">
        <v>7.05</v>
      </c>
      <c r="F38" s="489" t="s">
        <v>746</v>
      </c>
      <c r="G38" s="207">
        <f t="shared" si="2"/>
        <v>1.5542328042328041E-2</v>
      </c>
      <c r="I38" s="214"/>
      <c r="K38" s="208">
        <f t="shared" si="3"/>
        <v>1.5542328042328041E-2</v>
      </c>
      <c r="L38" s="198" t="s">
        <v>6</v>
      </c>
    </row>
    <row r="39" spans="1:17" s="293" customFormat="1" x14ac:dyDescent="0.15">
      <c r="D39" s="457"/>
      <c r="E39" s="492" t="s">
        <v>747</v>
      </c>
      <c r="F39" s="457"/>
      <c r="G39" s="196"/>
      <c r="H39" s="196"/>
      <c r="J39" s="201"/>
    </row>
    <row r="40" spans="1:17" s="293" customFormat="1" x14ac:dyDescent="0.15">
      <c r="D40" s="457"/>
      <c r="E40" s="457"/>
      <c r="F40" s="457"/>
      <c r="G40" s="196"/>
      <c r="H40" s="196"/>
      <c r="J40" s="201"/>
    </row>
    <row r="41" spans="1:17" ht="28" x14ac:dyDescent="0.15">
      <c r="C41" s="624" t="s">
        <v>623</v>
      </c>
      <c r="D41" s="625"/>
      <c r="E41" s="625"/>
      <c r="F41" s="625"/>
      <c r="G41" s="625"/>
      <c r="I41" s="192" t="s">
        <v>435</v>
      </c>
      <c r="J41" s="119"/>
      <c r="K41" s="622" t="s">
        <v>436</v>
      </c>
      <c r="L41" s="623"/>
    </row>
    <row r="42" spans="1:17" s="122" customFormat="1" ht="28" x14ac:dyDescent="0.15">
      <c r="A42" s="294"/>
      <c r="B42" s="294"/>
      <c r="C42" s="205" t="s">
        <v>437</v>
      </c>
      <c r="D42" s="193" t="s">
        <v>389</v>
      </c>
      <c r="E42" s="193" t="s">
        <v>444</v>
      </c>
      <c r="F42" s="193" t="s">
        <v>75</v>
      </c>
      <c r="G42" s="193" t="s">
        <v>445</v>
      </c>
      <c r="H42" s="120"/>
      <c r="I42" s="193" t="s">
        <v>445</v>
      </c>
      <c r="J42" s="119"/>
      <c r="K42" s="193" t="s">
        <v>445</v>
      </c>
      <c r="L42" s="205" t="s">
        <v>437</v>
      </c>
      <c r="M42" s="294"/>
      <c r="N42" s="294"/>
      <c r="O42" s="294"/>
      <c r="P42" s="294"/>
      <c r="Q42" s="294"/>
    </row>
    <row r="43" spans="1:17" ht="28" x14ac:dyDescent="0.15">
      <c r="C43" s="198" t="s">
        <v>438</v>
      </c>
      <c r="D43" s="206" t="s">
        <v>1</v>
      </c>
      <c r="E43" s="490">
        <v>3.5999999999999999E-3</v>
      </c>
      <c r="F43" s="495" t="s">
        <v>750</v>
      </c>
      <c r="G43" s="207">
        <f>E43/453.6</f>
        <v>7.9365079365079362E-6</v>
      </c>
      <c r="I43" s="214"/>
      <c r="K43" s="208">
        <f>IF(I43&gt;0, I43, G43)</f>
        <v>7.9365079365079362E-6</v>
      </c>
      <c r="L43" s="198" t="s">
        <v>438</v>
      </c>
    </row>
    <row r="44" spans="1:17" x14ac:dyDescent="0.15">
      <c r="C44" s="198" t="s">
        <v>439</v>
      </c>
      <c r="D44" s="206" t="s">
        <v>1</v>
      </c>
      <c r="E44" s="488">
        <v>0.22</v>
      </c>
      <c r="F44" s="489" t="s">
        <v>746</v>
      </c>
      <c r="G44" s="207">
        <f t="shared" ref="G44:G51" si="4">E44/453.6</f>
        <v>4.8500881834215163E-4</v>
      </c>
      <c r="I44" s="214"/>
      <c r="K44" s="208">
        <f t="shared" ref="K44:K51" si="5">IF(I44&gt;0, I44, G44)</f>
        <v>4.8500881834215163E-4</v>
      </c>
      <c r="L44" s="198" t="s">
        <v>439</v>
      </c>
    </row>
    <row r="45" spans="1:17" x14ac:dyDescent="0.15">
      <c r="C45" s="198" t="s">
        <v>439</v>
      </c>
      <c r="D45" s="206" t="s">
        <v>2</v>
      </c>
      <c r="E45" s="488">
        <v>0.26</v>
      </c>
      <c r="F45" s="489" t="s">
        <v>746</v>
      </c>
      <c r="G45" s="207">
        <f t="shared" si="4"/>
        <v>5.7319223985890654E-4</v>
      </c>
      <c r="I45" s="214"/>
      <c r="K45" s="208">
        <f t="shared" si="5"/>
        <v>5.7319223985890654E-4</v>
      </c>
      <c r="L45" s="198" t="s">
        <v>439</v>
      </c>
    </row>
    <row r="46" spans="1:17" s="122" customFormat="1" ht="28" x14ac:dyDescent="0.15">
      <c r="A46" s="294"/>
      <c r="B46" s="294"/>
      <c r="C46" s="209" t="s">
        <v>448</v>
      </c>
      <c r="D46" s="210" t="s">
        <v>51</v>
      </c>
      <c r="E46" s="493">
        <v>6.7000000000000004E-2</v>
      </c>
      <c r="F46" s="211" t="s">
        <v>449</v>
      </c>
      <c r="G46" s="212">
        <f t="shared" si="4"/>
        <v>1.4770723104056438E-4</v>
      </c>
      <c r="H46" s="120"/>
      <c r="I46" s="215"/>
      <c r="J46" s="119"/>
      <c r="K46" s="213">
        <f t="shared" si="5"/>
        <v>1.4770723104056438E-4</v>
      </c>
      <c r="L46" s="209" t="s">
        <v>448</v>
      </c>
      <c r="M46" s="294"/>
      <c r="N46" s="294"/>
      <c r="O46" s="294"/>
      <c r="P46" s="294"/>
      <c r="Q46" s="294"/>
    </row>
    <row r="47" spans="1:17" x14ac:dyDescent="0.15">
      <c r="C47" s="198" t="s">
        <v>4</v>
      </c>
      <c r="D47" s="206" t="s">
        <v>2</v>
      </c>
      <c r="E47" s="488">
        <v>0.26</v>
      </c>
      <c r="F47" s="489" t="s">
        <v>746</v>
      </c>
      <c r="G47" s="207">
        <f t="shared" si="4"/>
        <v>5.7319223985890654E-4</v>
      </c>
      <c r="I47" s="214"/>
      <c r="K47" s="208">
        <f t="shared" si="5"/>
        <v>5.7319223985890654E-4</v>
      </c>
      <c r="L47" s="198" t="s">
        <v>4</v>
      </c>
    </row>
    <row r="48" spans="1:17" x14ac:dyDescent="0.15">
      <c r="C48" s="198" t="s">
        <v>5</v>
      </c>
      <c r="D48" s="206" t="s">
        <v>2</v>
      </c>
      <c r="E48" s="490">
        <v>0.45</v>
      </c>
      <c r="F48" s="489" t="s">
        <v>746</v>
      </c>
      <c r="G48" s="207">
        <f t="shared" si="4"/>
        <v>9.9206349206349201E-4</v>
      </c>
      <c r="I48" s="214"/>
      <c r="K48" s="208">
        <f t="shared" si="5"/>
        <v>9.9206349206349201E-4</v>
      </c>
      <c r="L48" s="198" t="s">
        <v>5</v>
      </c>
    </row>
    <row r="49" spans="3:12" x14ac:dyDescent="0.15">
      <c r="C49" s="198" t="s">
        <v>5</v>
      </c>
      <c r="D49" s="206" t="s">
        <v>440</v>
      </c>
      <c r="E49" s="490">
        <v>0.6</v>
      </c>
      <c r="F49" s="489" t="s">
        <v>746</v>
      </c>
      <c r="G49" s="207">
        <f t="shared" si="4"/>
        <v>1.3227513227513227E-3</v>
      </c>
      <c r="I49" s="214"/>
      <c r="K49" s="208">
        <f t="shared" si="5"/>
        <v>1.3227513227513227E-3</v>
      </c>
      <c r="L49" s="198" t="s">
        <v>5</v>
      </c>
    </row>
    <row r="50" spans="3:12" x14ac:dyDescent="0.15">
      <c r="C50" s="198" t="s">
        <v>6</v>
      </c>
      <c r="D50" s="206" t="s">
        <v>441</v>
      </c>
      <c r="E50" s="488">
        <v>0.31</v>
      </c>
      <c r="F50" s="489" t="s">
        <v>746</v>
      </c>
      <c r="G50" s="207">
        <f t="shared" si="4"/>
        <v>6.8342151675485009E-4</v>
      </c>
      <c r="I50" s="214"/>
      <c r="K50" s="208">
        <f t="shared" si="5"/>
        <v>6.8342151675485009E-4</v>
      </c>
      <c r="L50" s="198" t="s">
        <v>6</v>
      </c>
    </row>
    <row r="51" spans="3:12" ht="17.25" customHeight="1" x14ac:dyDescent="0.15">
      <c r="C51" s="198" t="s">
        <v>6</v>
      </c>
      <c r="D51" s="206" t="s">
        <v>416</v>
      </c>
      <c r="E51" s="488">
        <v>0.11</v>
      </c>
      <c r="F51" s="489" t="s">
        <v>746</v>
      </c>
      <c r="G51" s="207">
        <f t="shared" si="4"/>
        <v>2.4250440917107581E-4</v>
      </c>
      <c r="I51" s="214"/>
      <c r="K51" s="208">
        <f t="shared" si="5"/>
        <v>2.4250440917107581E-4</v>
      </c>
      <c r="L51" s="198" t="s">
        <v>6</v>
      </c>
    </row>
    <row r="52" spans="3:12" x14ac:dyDescent="0.15">
      <c r="C52" s="293"/>
      <c r="D52" s="457"/>
      <c r="E52" s="457"/>
      <c r="F52" s="457"/>
      <c r="I52" s="293"/>
      <c r="K52" s="293"/>
      <c r="L52" s="293"/>
    </row>
    <row r="53" spans="3:12" x14ac:dyDescent="0.15">
      <c r="C53" s="293"/>
      <c r="D53" s="457"/>
      <c r="E53" s="457"/>
      <c r="F53" s="457"/>
      <c r="I53" s="293"/>
      <c r="K53" s="293"/>
      <c r="L53" s="293"/>
    </row>
    <row r="54" spans="3:12" x14ac:dyDescent="0.15">
      <c r="C54" s="293"/>
      <c r="D54" s="457"/>
      <c r="E54" s="457"/>
      <c r="F54" s="457"/>
      <c r="I54" s="293"/>
      <c r="K54" s="293"/>
      <c r="L54" s="293"/>
    </row>
    <row r="55" spans="3:12" x14ac:dyDescent="0.15">
      <c r="C55" s="293"/>
      <c r="D55" s="457"/>
      <c r="E55" s="457"/>
      <c r="F55" s="457"/>
      <c r="I55" s="293"/>
      <c r="K55" s="293"/>
      <c r="L55" s="293"/>
    </row>
    <row r="56" spans="3:12" x14ac:dyDescent="0.15">
      <c r="C56" s="293"/>
      <c r="D56" s="457"/>
      <c r="E56" s="457"/>
      <c r="F56" s="457"/>
      <c r="I56" s="293"/>
      <c r="K56" s="293"/>
      <c r="L56" s="293"/>
    </row>
    <row r="57" spans="3:12" x14ac:dyDescent="0.15">
      <c r="C57" s="293"/>
      <c r="D57" s="457"/>
      <c r="E57" s="457"/>
      <c r="F57" s="457"/>
      <c r="I57" s="293"/>
      <c r="K57" s="293"/>
      <c r="L57" s="293"/>
    </row>
    <row r="58" spans="3:12" x14ac:dyDescent="0.15">
      <c r="C58" s="293"/>
      <c r="D58" s="457"/>
      <c r="E58" s="457"/>
      <c r="F58" s="457"/>
      <c r="I58" s="293"/>
      <c r="K58" s="293"/>
      <c r="L58" s="293"/>
    </row>
    <row r="59" spans="3:12" x14ac:dyDescent="0.15">
      <c r="C59" s="293"/>
      <c r="D59" s="457"/>
      <c r="E59" s="457"/>
      <c r="F59" s="457"/>
      <c r="I59" s="293"/>
      <c r="K59" s="293"/>
      <c r="L59" s="293"/>
    </row>
    <row r="60" spans="3:12" x14ac:dyDescent="0.15">
      <c r="C60" s="293"/>
      <c r="D60" s="457"/>
      <c r="E60" s="457"/>
      <c r="F60" s="457"/>
      <c r="I60" s="293"/>
      <c r="K60" s="293"/>
      <c r="L60" s="293"/>
    </row>
    <row r="61" spans="3:12" x14ac:dyDescent="0.15">
      <c r="C61" s="293"/>
      <c r="D61" s="457"/>
      <c r="E61" s="457"/>
      <c r="F61" s="457"/>
      <c r="I61" s="293"/>
      <c r="K61" s="293"/>
      <c r="L61" s="293"/>
    </row>
    <row r="62" spans="3:12" x14ac:dyDescent="0.15">
      <c r="C62" s="293"/>
      <c r="D62" s="457"/>
      <c r="E62" s="457"/>
      <c r="F62" s="457"/>
      <c r="I62" s="293"/>
      <c r="K62" s="293"/>
      <c r="L62" s="293"/>
    </row>
    <row r="63" spans="3:12" x14ac:dyDescent="0.15">
      <c r="C63" s="293"/>
      <c r="D63" s="457"/>
      <c r="E63" s="457"/>
      <c r="F63" s="457"/>
      <c r="I63" s="293"/>
      <c r="K63" s="293"/>
      <c r="L63" s="293"/>
    </row>
    <row r="64" spans="3:12" x14ac:dyDescent="0.15">
      <c r="C64" s="293"/>
      <c r="D64" s="457"/>
      <c r="E64" s="457"/>
      <c r="F64" s="457"/>
      <c r="I64" s="293"/>
      <c r="K64" s="293"/>
      <c r="L64" s="293"/>
    </row>
    <row r="65" spans="3:12" x14ac:dyDescent="0.15">
      <c r="C65" s="293"/>
      <c r="D65" s="457"/>
      <c r="E65" s="457"/>
      <c r="F65" s="457"/>
      <c r="I65" s="293"/>
      <c r="K65" s="293"/>
      <c r="L65" s="293"/>
    </row>
    <row r="66" spans="3:12" x14ac:dyDescent="0.15">
      <c r="C66" s="293"/>
      <c r="D66" s="457"/>
      <c r="E66" s="457"/>
      <c r="F66" s="457"/>
      <c r="I66" s="293"/>
      <c r="K66" s="293"/>
      <c r="L66" s="293"/>
    </row>
    <row r="67" spans="3:12" x14ac:dyDescent="0.15">
      <c r="C67" s="293"/>
      <c r="D67" s="457"/>
      <c r="E67" s="457"/>
      <c r="F67" s="457"/>
      <c r="I67" s="293"/>
      <c r="K67" s="293"/>
      <c r="L67" s="293"/>
    </row>
    <row r="68" spans="3:12" x14ac:dyDescent="0.15">
      <c r="C68" s="293"/>
      <c r="D68" s="457"/>
      <c r="E68" s="457"/>
      <c r="F68" s="457"/>
      <c r="I68" s="293"/>
      <c r="K68" s="293"/>
      <c r="L68" s="293"/>
    </row>
    <row r="69" spans="3:12" x14ac:dyDescent="0.15">
      <c r="C69" s="293"/>
      <c r="D69" s="457"/>
      <c r="E69" s="457"/>
      <c r="F69" s="457"/>
      <c r="I69" s="293"/>
      <c r="K69" s="293"/>
      <c r="L69" s="293"/>
    </row>
    <row r="70" spans="3:12" x14ac:dyDescent="0.15">
      <c r="C70" s="293"/>
      <c r="D70" s="457"/>
      <c r="E70" s="457"/>
      <c r="F70" s="457"/>
      <c r="I70" s="293"/>
      <c r="K70" s="293"/>
      <c r="L70" s="293"/>
    </row>
    <row r="71" spans="3:12" x14ac:dyDescent="0.15">
      <c r="C71" s="293"/>
      <c r="D71" s="457"/>
      <c r="E71" s="457"/>
      <c r="F71" s="457"/>
      <c r="I71" s="293"/>
      <c r="K71" s="293"/>
      <c r="L71" s="293"/>
    </row>
    <row r="72" spans="3:12" x14ac:dyDescent="0.15">
      <c r="C72" s="293"/>
      <c r="D72" s="457"/>
      <c r="E72" s="457"/>
      <c r="F72" s="457"/>
      <c r="I72" s="293"/>
      <c r="K72" s="293"/>
      <c r="L72" s="293"/>
    </row>
    <row r="73" spans="3:12" x14ac:dyDescent="0.15">
      <c r="C73" s="293"/>
      <c r="D73" s="457"/>
      <c r="E73" s="457"/>
      <c r="F73" s="457"/>
      <c r="I73" s="293"/>
      <c r="K73" s="293"/>
      <c r="L73" s="293"/>
    </row>
    <row r="74" spans="3:12" x14ac:dyDescent="0.15">
      <c r="C74" s="293"/>
      <c r="D74" s="457"/>
      <c r="E74" s="457"/>
      <c r="F74" s="457"/>
      <c r="I74" s="293"/>
      <c r="K74" s="293"/>
      <c r="L74" s="293"/>
    </row>
    <row r="75" spans="3:12" x14ac:dyDescent="0.15">
      <c r="C75" s="293"/>
      <c r="D75" s="457"/>
      <c r="E75" s="457"/>
      <c r="F75" s="457"/>
      <c r="I75" s="293"/>
      <c r="K75" s="293"/>
      <c r="L75" s="293"/>
    </row>
    <row r="76" spans="3:12" x14ac:dyDescent="0.15">
      <c r="C76" s="293"/>
      <c r="D76" s="457"/>
      <c r="E76" s="457"/>
      <c r="F76" s="457"/>
      <c r="I76" s="293"/>
      <c r="K76" s="293"/>
      <c r="L76" s="293"/>
    </row>
    <row r="77" spans="3:12" x14ac:dyDescent="0.15">
      <c r="C77" s="293"/>
      <c r="D77" s="457"/>
      <c r="E77" s="457"/>
      <c r="F77" s="457"/>
      <c r="I77" s="293"/>
      <c r="K77" s="293"/>
      <c r="L77" s="293"/>
    </row>
    <row r="78" spans="3:12" x14ac:dyDescent="0.15">
      <c r="C78" s="293"/>
      <c r="D78" s="457"/>
      <c r="E78" s="457"/>
      <c r="F78" s="457"/>
      <c r="I78" s="293"/>
      <c r="K78" s="293"/>
      <c r="L78" s="293"/>
    </row>
  </sheetData>
  <mergeCells count="11">
    <mergeCell ref="K28:L28"/>
    <mergeCell ref="C41:G41"/>
    <mergeCell ref="K41:L41"/>
    <mergeCell ref="D2:E3"/>
    <mergeCell ref="G3:K3"/>
    <mergeCell ref="C5:E5"/>
    <mergeCell ref="C4:F4"/>
    <mergeCell ref="K5:L5"/>
    <mergeCell ref="K4:L4"/>
    <mergeCell ref="A3:C3"/>
    <mergeCell ref="C28:G28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Q166"/>
  <sheetViews>
    <sheetView topLeftCell="A22" workbookViewId="0">
      <selection activeCell="E26" sqref="E26"/>
    </sheetView>
  </sheetViews>
  <sheetFormatPr baseColWidth="10" defaultColWidth="9.6640625" defaultRowHeight="13" x14ac:dyDescent="0.15"/>
  <cols>
    <col min="1" max="1" width="7.1640625" style="288" customWidth="1"/>
    <col min="2" max="2" width="11.1640625" style="216" customWidth="1"/>
    <col min="3" max="3" width="15.33203125" style="289" customWidth="1"/>
    <col min="4" max="4" width="13.1640625" style="289" customWidth="1"/>
    <col min="5" max="5" width="14.83203125" style="289" customWidth="1"/>
    <col min="6" max="6" width="10" style="289" customWidth="1"/>
    <col min="7" max="7" width="14.1640625" style="289" customWidth="1"/>
    <col min="8" max="8" width="14" style="216" customWidth="1"/>
    <col min="9" max="9" width="10" style="216" customWidth="1"/>
    <col min="10" max="10" width="11" style="216" customWidth="1"/>
    <col min="11" max="11" width="9.1640625" style="216" customWidth="1"/>
    <col min="12" max="12" width="10.1640625" style="216" customWidth="1"/>
    <col min="13" max="13" width="10.5" style="216" customWidth="1"/>
    <col min="14" max="14" width="10.83203125" style="216" customWidth="1"/>
    <col min="15" max="15" width="11.5" style="216" customWidth="1"/>
    <col min="16" max="16" width="11.83203125" style="216" customWidth="1"/>
    <col min="17" max="17" width="8" style="216" customWidth="1"/>
    <col min="18" max="18" width="11.33203125" style="216" customWidth="1"/>
    <col min="19" max="19" width="11.5" style="216" customWidth="1"/>
    <col min="20" max="20" width="15.83203125" style="93" customWidth="1"/>
    <col min="21" max="21" width="16.83203125" style="93" customWidth="1"/>
    <col min="22" max="22" width="5.5" style="93" customWidth="1"/>
    <col min="23" max="42" width="9.6640625" style="93" customWidth="1"/>
    <col min="43" max="16384" width="9.6640625" style="216"/>
  </cols>
  <sheetData>
    <row r="1" spans="1:199" s="93" customFormat="1" ht="28.5" customHeight="1" x14ac:dyDescent="0.2">
      <c r="A1" s="571" t="s">
        <v>327</v>
      </c>
      <c r="B1" s="571"/>
      <c r="C1" s="571"/>
      <c r="D1" s="657"/>
      <c r="E1" s="657"/>
      <c r="F1" s="657"/>
      <c r="G1" s="596"/>
      <c r="H1" s="596"/>
      <c r="J1" s="572" t="s">
        <v>110</v>
      </c>
      <c r="K1" s="572"/>
      <c r="L1" s="572"/>
      <c r="M1" s="572"/>
      <c r="N1" s="572"/>
      <c r="O1" s="572"/>
      <c r="P1" s="572"/>
      <c r="Q1" s="572"/>
      <c r="R1" s="572"/>
      <c r="S1" s="572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</row>
    <row r="2" spans="1:199" s="94" customFormat="1" ht="16" x14ac:dyDescent="0.2">
      <c r="A2" s="650" t="s">
        <v>761</v>
      </c>
      <c r="B2" s="650"/>
      <c r="C2" s="650"/>
      <c r="D2" s="596"/>
      <c r="E2" s="217"/>
      <c r="F2" s="217"/>
      <c r="G2" s="217"/>
      <c r="J2" s="93"/>
      <c r="K2" s="93"/>
      <c r="L2" s="93"/>
      <c r="M2" s="93"/>
      <c r="N2" s="93"/>
      <c r="O2" s="93"/>
      <c r="P2" s="93"/>
      <c r="Q2" s="93"/>
      <c r="R2" s="93"/>
      <c r="S2" s="93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</row>
    <row r="3" spans="1:199" s="94" customFormat="1" ht="16" x14ac:dyDescent="0.2">
      <c r="A3" s="573" t="s">
        <v>762</v>
      </c>
      <c r="B3" s="574"/>
      <c r="C3" s="574"/>
      <c r="D3" s="574"/>
      <c r="E3" s="217"/>
      <c r="F3" s="217"/>
      <c r="G3" s="217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</row>
    <row r="4" spans="1:199" s="94" customFormat="1" ht="15.75" customHeight="1" x14ac:dyDescent="0.2">
      <c r="A4" s="574" t="s">
        <v>343</v>
      </c>
      <c r="B4" s="572"/>
      <c r="C4" s="572"/>
      <c r="D4" s="572"/>
      <c r="E4" s="572"/>
      <c r="F4" s="93"/>
      <c r="G4" s="217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</row>
    <row r="5" spans="1:199" s="94" customFormat="1" x14ac:dyDescent="0.15">
      <c r="A5" s="572" t="s">
        <v>685</v>
      </c>
      <c r="B5" s="572"/>
      <c r="C5" s="572"/>
      <c r="D5" s="93"/>
      <c r="E5" s="217"/>
      <c r="F5" s="217"/>
      <c r="G5" s="217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</row>
    <row r="6" spans="1:199" s="94" customFormat="1" x14ac:dyDescent="0.15">
      <c r="A6" s="93"/>
      <c r="B6" s="93"/>
      <c r="C6" s="644" t="s">
        <v>351</v>
      </c>
      <c r="D6" s="644"/>
      <c r="E6" s="217"/>
      <c r="F6" s="217"/>
      <c r="G6" s="217"/>
      <c r="H6" s="644" t="s">
        <v>339</v>
      </c>
      <c r="I6" s="644"/>
      <c r="K6" s="644" t="s">
        <v>390</v>
      </c>
      <c r="L6" s="644"/>
      <c r="M6" s="644"/>
      <c r="N6" s="644"/>
      <c r="O6" s="644"/>
      <c r="P6" s="644"/>
      <c r="Q6" s="644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</row>
    <row r="7" spans="1:199" s="94" customFormat="1" ht="28" x14ac:dyDescent="0.15">
      <c r="B7" s="219"/>
      <c r="C7" s="220" t="s">
        <v>128</v>
      </c>
      <c r="D7" s="221" t="s">
        <v>350</v>
      </c>
      <c r="E7" s="222"/>
      <c r="F7" s="222"/>
      <c r="G7" s="217"/>
      <c r="H7" s="223" t="s">
        <v>337</v>
      </c>
      <c r="I7" s="223" t="s">
        <v>338</v>
      </c>
      <c r="K7" s="224"/>
      <c r="L7" s="651" t="s">
        <v>368</v>
      </c>
      <c r="M7" s="652"/>
      <c r="N7" s="652"/>
      <c r="O7" s="652"/>
      <c r="P7" s="652"/>
      <c r="Q7" s="653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</row>
    <row r="8" spans="1:199" s="94" customFormat="1" ht="16" x14ac:dyDescent="0.2">
      <c r="A8" s="219"/>
      <c r="B8" s="225"/>
      <c r="C8" s="226">
        <f>'1. Facility'!B8</f>
        <v>1</v>
      </c>
      <c r="D8" s="227" t="str">
        <f>IF(P36&gt;0,P36,"")</f>
        <v/>
      </c>
      <c r="E8" s="658" t="s">
        <v>677</v>
      </c>
      <c r="F8" s="658"/>
      <c r="G8" s="217"/>
      <c r="H8" s="308" t="s">
        <v>340</v>
      </c>
      <c r="I8" s="472">
        <v>1</v>
      </c>
      <c r="K8" s="228">
        <v>1</v>
      </c>
      <c r="L8" s="654" t="s">
        <v>403</v>
      </c>
      <c r="M8" s="655"/>
      <c r="N8" s="655"/>
      <c r="O8" s="655"/>
      <c r="P8" s="655"/>
      <c r="Q8" s="656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</row>
    <row r="9" spans="1:199" s="94" customFormat="1" ht="16" x14ac:dyDescent="0.2">
      <c r="A9" s="219"/>
      <c r="B9" s="225"/>
      <c r="C9" s="226">
        <f>'1. Facility'!B9</f>
        <v>2</v>
      </c>
      <c r="D9" s="227" t="str">
        <f>IF(P49&gt;0,P49, "")</f>
        <v/>
      </c>
      <c r="E9" s="658"/>
      <c r="F9" s="658"/>
      <c r="G9" s="217"/>
      <c r="H9" s="308" t="s">
        <v>341</v>
      </c>
      <c r="I9" s="472">
        <v>21</v>
      </c>
      <c r="K9" s="224"/>
      <c r="L9" s="654" t="s">
        <v>404</v>
      </c>
      <c r="M9" s="655"/>
      <c r="N9" s="655"/>
      <c r="O9" s="655"/>
      <c r="P9" s="655"/>
      <c r="Q9" s="656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</row>
    <row r="10" spans="1:199" s="94" customFormat="1" ht="16" x14ac:dyDescent="0.2">
      <c r="A10" s="219"/>
      <c r="B10" s="225"/>
      <c r="C10" s="226">
        <f>'1. Facility'!B10</f>
        <v>3</v>
      </c>
      <c r="D10" s="227" t="str">
        <f>IF(P62&gt;0,P62, "")</f>
        <v/>
      </c>
      <c r="E10" s="658"/>
      <c r="F10" s="658"/>
      <c r="G10" s="217"/>
      <c r="H10" s="308" t="s">
        <v>342</v>
      </c>
      <c r="I10" s="472">
        <v>310</v>
      </c>
      <c r="K10" s="224"/>
      <c r="L10" s="654" t="s">
        <v>405</v>
      </c>
      <c r="M10" s="655"/>
      <c r="N10" s="655"/>
      <c r="O10" s="655"/>
      <c r="P10" s="655"/>
      <c r="Q10" s="656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</row>
    <row r="11" spans="1:199" s="94" customFormat="1" ht="17.25" customHeight="1" x14ac:dyDescent="0.15">
      <c r="A11" s="219"/>
      <c r="B11" s="225"/>
      <c r="C11" s="226">
        <f>'1. Facility'!B11</f>
        <v>4</v>
      </c>
      <c r="D11" s="227" t="str">
        <f>IF(P75&gt;0,P75, "")</f>
        <v/>
      </c>
      <c r="E11" s="658"/>
      <c r="F11" s="658"/>
      <c r="G11" s="217"/>
      <c r="K11" s="224"/>
      <c r="L11" s="654"/>
      <c r="M11" s="655"/>
      <c r="N11" s="655"/>
      <c r="O11" s="655"/>
      <c r="P11" s="655"/>
      <c r="Q11" s="656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</row>
    <row r="12" spans="1:199" s="94" customFormat="1" ht="15" customHeight="1" x14ac:dyDescent="0.15">
      <c r="A12" s="219"/>
      <c r="B12" s="225"/>
      <c r="C12" s="226">
        <f>'1. Facility'!B12</f>
        <v>5</v>
      </c>
      <c r="D12" s="227" t="str">
        <f>IF(P88&gt;0,P88, "")</f>
        <v/>
      </c>
      <c r="E12" s="658"/>
      <c r="F12" s="658"/>
      <c r="G12" s="217"/>
      <c r="H12" s="577" t="s">
        <v>365</v>
      </c>
      <c r="I12" s="578"/>
      <c r="K12" s="228">
        <v>2</v>
      </c>
      <c r="L12" s="654" t="s">
        <v>406</v>
      </c>
      <c r="M12" s="655"/>
      <c r="N12" s="655"/>
      <c r="O12" s="655"/>
      <c r="P12" s="655"/>
      <c r="Q12" s="656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</row>
    <row r="13" spans="1:199" s="94" customFormat="1" ht="16.5" customHeight="1" x14ac:dyDescent="0.15">
      <c r="A13" s="219"/>
      <c r="B13" s="225"/>
      <c r="C13" s="226">
        <f>'1. Facility'!B13</f>
        <v>6</v>
      </c>
      <c r="D13" s="227" t="str">
        <f>IF(P101&gt;0,P101, "")</f>
        <v/>
      </c>
      <c r="E13" s="658"/>
      <c r="F13" s="658"/>
      <c r="G13" s="217"/>
      <c r="H13" s="104" t="s">
        <v>360</v>
      </c>
      <c r="I13" s="105" t="s">
        <v>359</v>
      </c>
      <c r="K13" s="224"/>
      <c r="L13" s="654" t="s">
        <v>407</v>
      </c>
      <c r="M13" s="655"/>
      <c r="N13" s="655"/>
      <c r="O13" s="655"/>
      <c r="P13" s="655"/>
      <c r="Q13" s="656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</row>
    <row r="14" spans="1:199" s="94" customFormat="1" ht="17" x14ac:dyDescent="0.15">
      <c r="A14" s="219"/>
      <c r="B14" s="225"/>
      <c r="C14" s="226">
        <f>'1. Facility'!B14</f>
        <v>7</v>
      </c>
      <c r="D14" s="227" t="str">
        <f>IF(P114&gt;0,P114, "")</f>
        <v/>
      </c>
      <c r="E14" s="658"/>
      <c r="F14" s="658"/>
      <c r="G14" s="217"/>
      <c r="H14" s="104" t="s">
        <v>361</v>
      </c>
      <c r="I14" s="106" t="s">
        <v>362</v>
      </c>
      <c r="K14" s="224"/>
      <c r="L14" s="654" t="s">
        <v>491</v>
      </c>
      <c r="M14" s="655"/>
      <c r="N14" s="655"/>
      <c r="O14" s="655"/>
      <c r="P14" s="655"/>
      <c r="Q14" s="656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</row>
    <row r="15" spans="1:199" s="94" customFormat="1" ht="17.25" customHeight="1" x14ac:dyDescent="0.15">
      <c r="A15" s="219"/>
      <c r="B15" s="225"/>
      <c r="C15" s="226">
        <f>'1. Facility'!B15</f>
        <v>8</v>
      </c>
      <c r="D15" s="227" t="str">
        <f>IF(P127&gt;0,P127, "")</f>
        <v/>
      </c>
      <c r="E15" s="222"/>
      <c r="F15" s="222"/>
      <c r="G15" s="217"/>
      <c r="H15" s="104" t="s">
        <v>363</v>
      </c>
      <c r="I15" s="107" t="s">
        <v>364</v>
      </c>
      <c r="K15" s="224"/>
      <c r="L15" s="662"/>
      <c r="M15" s="662"/>
      <c r="N15" s="662"/>
      <c r="O15" s="662"/>
      <c r="P15" s="662"/>
      <c r="Q15" s="662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</row>
    <row r="16" spans="1:199" s="94" customFormat="1" ht="17.25" customHeight="1" x14ac:dyDescent="0.15">
      <c r="A16" s="219"/>
      <c r="B16" s="225"/>
      <c r="C16" s="226">
        <f>'1. Facility'!B16</f>
        <v>9</v>
      </c>
      <c r="D16" s="227" t="str">
        <f>IF(P140&gt;0,P140, "")</f>
        <v/>
      </c>
      <c r="E16" s="222"/>
      <c r="F16" s="222"/>
      <c r="G16" s="217"/>
      <c r="H16" s="104" t="s">
        <v>366</v>
      </c>
      <c r="I16" s="104" t="s">
        <v>367</v>
      </c>
      <c r="K16" s="224"/>
      <c r="L16" s="662"/>
      <c r="M16" s="662"/>
      <c r="N16" s="662"/>
      <c r="O16" s="662"/>
      <c r="P16" s="662"/>
      <c r="Q16" s="662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</row>
    <row r="17" spans="1:199" s="94" customFormat="1" ht="18" customHeight="1" x14ac:dyDescent="0.15">
      <c r="A17" s="219"/>
      <c r="B17" s="225"/>
      <c r="C17" s="226">
        <f>'1. Facility'!B17</f>
        <v>10</v>
      </c>
      <c r="D17" s="227" t="str">
        <f>IF(P153&gt;0,P153, "")</f>
        <v/>
      </c>
      <c r="E17" s="222"/>
      <c r="F17" s="222"/>
      <c r="G17" s="217"/>
      <c r="H17" s="229"/>
      <c r="I17" s="229"/>
      <c r="K17" s="224"/>
      <c r="L17" s="654"/>
      <c r="M17" s="655"/>
      <c r="N17" s="655"/>
      <c r="O17" s="655"/>
      <c r="P17" s="655"/>
      <c r="Q17" s="656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</row>
    <row r="18" spans="1:199" s="94" customFormat="1" ht="76.5" customHeight="1" x14ac:dyDescent="0.15">
      <c r="A18" s="93"/>
      <c r="B18" s="93"/>
      <c r="C18" s="93"/>
      <c r="D18" s="78"/>
      <c r="E18" s="217"/>
      <c r="F18" s="217"/>
      <c r="G18" s="217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</row>
    <row r="19" spans="1:199" s="94" customFormat="1" x14ac:dyDescent="0.15">
      <c r="A19" s="450"/>
      <c r="B19" s="450"/>
      <c r="C19" s="450"/>
      <c r="D19" s="639" t="s">
        <v>134</v>
      </c>
      <c r="E19" s="640"/>
      <c r="F19" s="430"/>
      <c r="G19" s="230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</row>
    <row r="20" spans="1:199" ht="18" customHeight="1" x14ac:dyDescent="0.2">
      <c r="A20" s="453"/>
      <c r="B20" s="451"/>
      <c r="C20" s="452"/>
      <c r="D20" s="232" t="s">
        <v>33</v>
      </c>
      <c r="E20" s="582"/>
      <c r="F20" s="583"/>
      <c r="G20" s="584"/>
      <c r="H20" s="233"/>
      <c r="I20" s="234"/>
      <c r="J20" s="582"/>
      <c r="K20" s="584"/>
      <c r="L20" s="97"/>
      <c r="M20" s="582"/>
      <c r="N20" s="584"/>
      <c r="O20" s="97"/>
      <c r="P20" s="97"/>
      <c r="Q20" s="582" t="s">
        <v>34</v>
      </c>
      <c r="R20" s="583"/>
      <c r="S20" s="584"/>
    </row>
    <row r="21" spans="1:199" s="239" customFormat="1" ht="18" customHeight="1" x14ac:dyDescent="0.15">
      <c r="A21" s="235" t="s">
        <v>7</v>
      </c>
      <c r="B21" s="235" t="s">
        <v>8</v>
      </c>
      <c r="C21" s="236" t="s">
        <v>9</v>
      </c>
      <c r="D21" s="236" t="s">
        <v>13</v>
      </c>
      <c r="E21" s="237" t="s">
        <v>38</v>
      </c>
      <c r="F21" s="237" t="s">
        <v>10</v>
      </c>
      <c r="G21" s="237" t="s">
        <v>14</v>
      </c>
      <c r="H21" s="237" t="s">
        <v>11</v>
      </c>
      <c r="I21" s="237" t="s">
        <v>56</v>
      </c>
      <c r="J21" s="237" t="s">
        <v>12</v>
      </c>
      <c r="K21" s="237" t="s">
        <v>15</v>
      </c>
      <c r="L21" s="237" t="s">
        <v>39</v>
      </c>
      <c r="M21" s="237" t="s">
        <v>40</v>
      </c>
      <c r="N21" s="237" t="s">
        <v>41</v>
      </c>
      <c r="O21" s="237" t="s">
        <v>57</v>
      </c>
      <c r="P21" s="237" t="s">
        <v>42</v>
      </c>
      <c r="Q21" s="235" t="s">
        <v>43</v>
      </c>
      <c r="R21" s="235" t="s">
        <v>630</v>
      </c>
      <c r="S21" s="235" t="s">
        <v>45</v>
      </c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</row>
    <row r="22" spans="1:199" s="239" customFormat="1" ht="103.5" customHeight="1" x14ac:dyDescent="0.15">
      <c r="A22" s="649" t="s">
        <v>128</v>
      </c>
      <c r="B22" s="649" t="s">
        <v>129</v>
      </c>
      <c r="C22" s="647" t="s">
        <v>389</v>
      </c>
      <c r="D22" s="427" t="s">
        <v>386</v>
      </c>
      <c r="E22" s="427" t="s">
        <v>46</v>
      </c>
      <c r="F22" s="427" t="s">
        <v>639</v>
      </c>
      <c r="G22" s="427" t="s">
        <v>112</v>
      </c>
      <c r="H22" s="428" t="s">
        <v>336</v>
      </c>
      <c r="I22" s="428" t="s">
        <v>335</v>
      </c>
      <c r="J22" s="429" t="s">
        <v>502</v>
      </c>
      <c r="K22" s="429" t="s">
        <v>47</v>
      </c>
      <c r="L22" s="429" t="s">
        <v>120</v>
      </c>
      <c r="M22" s="429" t="s">
        <v>344</v>
      </c>
      <c r="N22" s="429" t="s">
        <v>48</v>
      </c>
      <c r="O22" s="429" t="s">
        <v>122</v>
      </c>
      <c r="P22" s="429" t="s">
        <v>123</v>
      </c>
      <c r="Q22" s="241" t="s">
        <v>28</v>
      </c>
      <c r="R22" s="242" t="s">
        <v>76</v>
      </c>
      <c r="S22" s="243" t="s">
        <v>75</v>
      </c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</row>
    <row r="23" spans="1:199" s="239" customFormat="1" ht="65.25" customHeight="1" thickBot="1" x14ac:dyDescent="0.2">
      <c r="A23" s="648"/>
      <c r="B23" s="648"/>
      <c r="C23" s="648"/>
      <c r="D23" s="244" t="s">
        <v>387</v>
      </c>
      <c r="E23" s="245" t="s">
        <v>629</v>
      </c>
      <c r="F23" s="448" t="s">
        <v>625</v>
      </c>
      <c r="G23" s="246" t="s">
        <v>626</v>
      </c>
      <c r="H23" s="247" t="s">
        <v>625</v>
      </c>
      <c r="I23" s="248" t="s">
        <v>631</v>
      </c>
      <c r="J23" s="249" t="s">
        <v>627</v>
      </c>
      <c r="K23" s="250" t="s">
        <v>632</v>
      </c>
      <c r="L23" s="250" t="s">
        <v>633</v>
      </c>
      <c r="M23" s="249" t="s">
        <v>628</v>
      </c>
      <c r="N23" s="250" t="s">
        <v>634</v>
      </c>
      <c r="O23" s="250" t="s">
        <v>635</v>
      </c>
      <c r="P23" s="250" t="s">
        <v>636</v>
      </c>
      <c r="Q23" s="290" t="s">
        <v>81</v>
      </c>
      <c r="R23" s="290" t="s">
        <v>81</v>
      </c>
      <c r="S23" s="290" t="s">
        <v>81</v>
      </c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</row>
    <row r="24" spans="1:199" s="239" customFormat="1" ht="18" customHeight="1" thickTop="1" thickBot="1" x14ac:dyDescent="0.2">
      <c r="A24" s="659">
        <f>'1. Facility'!B8</f>
        <v>1</v>
      </c>
      <c r="B24" s="49"/>
      <c r="C24" s="251" t="s">
        <v>84</v>
      </c>
      <c r="D24" s="252" t="s">
        <v>772</v>
      </c>
      <c r="E24" s="50">
        <v>0</v>
      </c>
      <c r="F24" s="454">
        <f>'4b. Stationary Comb. Factors'!$C$22/1000000</f>
        <v>1.026E-3</v>
      </c>
      <c r="G24" s="253">
        <f>E24</f>
        <v>0</v>
      </c>
      <c r="H24" s="254">
        <f>'4b. Stationary Comb. Factors'!$K$22</f>
        <v>116.99730000000001</v>
      </c>
      <c r="I24" s="255" t="str">
        <f t="shared" ref="I24:I35" si="0">IF(E24&gt;0, G24*H24/2000, "")</f>
        <v/>
      </c>
      <c r="J24" s="256">
        <f>'4b. Stationary Comb. Factors'!$K$32</f>
        <v>2.2045855379188711E-3</v>
      </c>
      <c r="K24" s="257" t="str">
        <f t="shared" ref="K24:K35" si="1">IF(E24&gt;0, G24*J24/2000, "")</f>
        <v/>
      </c>
      <c r="L24" s="257" t="str">
        <f t="shared" ref="L24:L35" si="2">IF(E24&gt;0, $I$9*K24,"")</f>
        <v/>
      </c>
      <c r="M24" s="258">
        <f>'4b. Stationary Comb. Factors'!$K$43</f>
        <v>2.2045855379188711E-4</v>
      </c>
      <c r="N24" s="259" t="str">
        <f t="shared" ref="N24:N35" si="3">IF(E24&gt;0, M24*G24/2000,"")</f>
        <v/>
      </c>
      <c r="O24" s="260" t="str">
        <f t="shared" ref="O24:O34" si="4">IF(E24&gt;0, $I$10*N24, "")</f>
        <v/>
      </c>
      <c r="P24" s="406" t="str">
        <f t="shared" ref="P24:P35" si="5">IF(E24&gt;0, I24+L24+O24, "")</f>
        <v/>
      </c>
      <c r="Q24" s="291"/>
      <c r="R24" s="291"/>
      <c r="S24" s="291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</row>
    <row r="25" spans="1:199" s="239" customFormat="1" ht="18" customHeight="1" thickTop="1" thickBot="1" x14ac:dyDescent="0.2">
      <c r="A25" s="660"/>
      <c r="B25" s="51"/>
      <c r="C25" s="261" t="s">
        <v>84</v>
      </c>
      <c r="D25" s="240" t="s">
        <v>637</v>
      </c>
      <c r="E25" s="52">
        <v>0</v>
      </c>
      <c r="F25" s="454">
        <f>'4b. Stationary Comb. Factors'!$C$22/1000000</f>
        <v>1.026E-3</v>
      </c>
      <c r="G25" s="262" t="str">
        <f>IF(E25&gt;0, E25*F25, "")</f>
        <v/>
      </c>
      <c r="H25" s="263">
        <f>'4b. Stationary Comb. Factors'!$K$22</f>
        <v>116.99730000000001</v>
      </c>
      <c r="I25" s="264" t="str">
        <f t="shared" si="0"/>
        <v/>
      </c>
      <c r="J25" s="265">
        <f>'4b. Stationary Comb. Factors'!$K$32</f>
        <v>2.2045855379188711E-3</v>
      </c>
      <c r="K25" s="266" t="str">
        <f t="shared" si="1"/>
        <v/>
      </c>
      <c r="L25" s="266" t="str">
        <f t="shared" si="2"/>
        <v/>
      </c>
      <c r="M25" s="267">
        <f>'4b. Stationary Comb. Factors'!$K$43</f>
        <v>2.2045855379188711E-4</v>
      </c>
      <c r="N25" s="268" t="str">
        <f t="shared" si="3"/>
        <v/>
      </c>
      <c r="O25" s="269" t="str">
        <f t="shared" si="4"/>
        <v/>
      </c>
      <c r="P25" s="135" t="str">
        <f t="shared" si="5"/>
        <v/>
      </c>
      <c r="Q25" s="292"/>
      <c r="R25" s="292"/>
      <c r="S25" s="292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</row>
    <row r="26" spans="1:199" s="239" customFormat="1" ht="18" customHeight="1" thickTop="1" x14ac:dyDescent="0.15">
      <c r="A26" s="660"/>
      <c r="B26" s="51"/>
      <c r="C26" s="261" t="s">
        <v>84</v>
      </c>
      <c r="D26" s="240" t="s">
        <v>638</v>
      </c>
      <c r="E26" s="52">
        <v>0</v>
      </c>
      <c r="F26" s="454">
        <f>'4b. Stationary Comb. Factors'!$C$22/1000000</f>
        <v>1.026E-3</v>
      </c>
      <c r="G26" s="262" t="str">
        <f t="shared" ref="G26:G32" si="6">IF(E26&gt;0, E26*F26, "")</f>
        <v/>
      </c>
      <c r="H26" s="271">
        <f>'4b. Stationary Comb. Factors'!$K$22</f>
        <v>116.99730000000001</v>
      </c>
      <c r="I26" s="264" t="str">
        <f t="shared" si="0"/>
        <v/>
      </c>
      <c r="J26" s="265">
        <f>'4b. Stationary Comb. Factors'!$K$32</f>
        <v>2.2045855379188711E-3</v>
      </c>
      <c r="K26" s="266" t="str">
        <f t="shared" si="1"/>
        <v/>
      </c>
      <c r="L26" s="266" t="str">
        <f t="shared" si="2"/>
        <v/>
      </c>
      <c r="M26" s="267">
        <f>'4b. Stationary Comb. Factors'!$K$43</f>
        <v>2.2045855379188711E-4</v>
      </c>
      <c r="N26" s="268" t="str">
        <f t="shared" si="3"/>
        <v/>
      </c>
      <c r="O26" s="269" t="str">
        <f t="shared" si="4"/>
        <v/>
      </c>
      <c r="P26" s="270" t="str">
        <f t="shared" si="5"/>
        <v/>
      </c>
      <c r="Q26" s="292"/>
      <c r="R26" s="292"/>
      <c r="S26" s="292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</row>
    <row r="27" spans="1:199" s="239" customFormat="1" ht="18" customHeight="1" x14ac:dyDescent="0.15">
      <c r="A27" s="660"/>
      <c r="B27" s="51"/>
      <c r="C27" s="261" t="s">
        <v>51</v>
      </c>
      <c r="D27" s="240" t="s">
        <v>638</v>
      </c>
      <c r="E27" s="52">
        <v>0</v>
      </c>
      <c r="F27" s="455">
        <f>'4b. Stationary Comb. Factors'!$C$17/42</f>
        <v>9.1047619047619044E-2</v>
      </c>
      <c r="G27" s="262" t="str">
        <f t="shared" si="6"/>
        <v/>
      </c>
      <c r="H27" s="272">
        <f>'4b. Stationary Comb. Factors'!$K$17</f>
        <v>138.62835000000001</v>
      </c>
      <c r="I27" s="264" t="str">
        <f t="shared" si="0"/>
        <v/>
      </c>
      <c r="J27" s="265">
        <f>'4b. Stationary Comb. Factors'!$K$32</f>
        <v>2.2045855379188711E-3</v>
      </c>
      <c r="K27" s="266" t="str">
        <f t="shared" si="1"/>
        <v/>
      </c>
      <c r="L27" s="266" t="str">
        <f t="shared" si="2"/>
        <v/>
      </c>
      <c r="M27" s="267">
        <f>'4b. Stationary Comb. Factors'!$K$43</f>
        <v>2.2045855379188711E-4</v>
      </c>
      <c r="N27" s="268" t="str">
        <f t="shared" si="3"/>
        <v/>
      </c>
      <c r="O27" s="269" t="str">
        <f t="shared" si="4"/>
        <v/>
      </c>
      <c r="P27" s="270" t="str">
        <f t="shared" si="5"/>
        <v/>
      </c>
      <c r="Q27" s="292"/>
      <c r="R27" s="292"/>
      <c r="S27" s="292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</row>
    <row r="28" spans="1:199" s="239" customFormat="1" ht="18" customHeight="1" x14ac:dyDescent="0.15">
      <c r="A28" s="660"/>
      <c r="B28" s="51"/>
      <c r="C28" s="261" t="s">
        <v>51</v>
      </c>
      <c r="D28" s="240" t="s">
        <v>638</v>
      </c>
      <c r="E28" s="52">
        <v>0</v>
      </c>
      <c r="F28" s="455">
        <f>'4b. Stationary Comb. Factors'!$C$17/42</f>
        <v>9.1047619047619044E-2</v>
      </c>
      <c r="G28" s="262" t="str">
        <f t="shared" si="6"/>
        <v/>
      </c>
      <c r="H28" s="272">
        <f>'4b. Stationary Comb. Factors'!$K$17</f>
        <v>138.62835000000001</v>
      </c>
      <c r="I28" s="264" t="str">
        <f t="shared" si="0"/>
        <v/>
      </c>
      <c r="J28" s="273">
        <f>'4b. Stationary Comb. Factors'!$K$32</f>
        <v>2.2045855379188711E-3</v>
      </c>
      <c r="K28" s="266" t="str">
        <f t="shared" si="1"/>
        <v/>
      </c>
      <c r="L28" s="266" t="str">
        <f t="shared" si="2"/>
        <v/>
      </c>
      <c r="M28" s="274">
        <f>'4b. Stationary Comb. Factors'!$K$43</f>
        <v>2.2045855379188711E-4</v>
      </c>
      <c r="N28" s="268" t="str">
        <f t="shared" si="3"/>
        <v/>
      </c>
      <c r="O28" s="269" t="str">
        <f t="shared" si="4"/>
        <v/>
      </c>
      <c r="P28" s="270" t="str">
        <f t="shared" si="5"/>
        <v/>
      </c>
      <c r="Q28" s="292"/>
      <c r="R28" s="292"/>
      <c r="S28" s="292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</row>
    <row r="29" spans="1:199" s="239" customFormat="1" ht="18" customHeight="1" x14ac:dyDescent="0.15">
      <c r="A29" s="660"/>
      <c r="B29" s="51"/>
      <c r="C29" s="261" t="s">
        <v>489</v>
      </c>
      <c r="D29" s="240" t="s">
        <v>638</v>
      </c>
      <c r="E29" s="52">
        <v>0</v>
      </c>
      <c r="F29" s="455">
        <f>'4b. Stationary Comb. Factors'!$C$14/42</f>
        <v>0.1386904761904762</v>
      </c>
      <c r="G29" s="262" t="str">
        <f t="shared" si="6"/>
        <v/>
      </c>
      <c r="H29" s="272">
        <f>'4b. Stationary Comb. Factors'!$K$14</f>
        <v>163.08179999999999</v>
      </c>
      <c r="I29" s="264" t="str">
        <f t="shared" si="0"/>
        <v/>
      </c>
      <c r="J29" s="265">
        <f>'4b. Stationary Comb. Factors'!$K$30</f>
        <v>6.6137566137566134E-3</v>
      </c>
      <c r="K29" s="266" t="str">
        <f t="shared" si="1"/>
        <v/>
      </c>
      <c r="L29" s="266" t="str">
        <f t="shared" si="2"/>
        <v/>
      </c>
      <c r="M29" s="267">
        <f>'4b. Stationary Comb. Factors'!$K$41</f>
        <v>1.3227513227513227E-3</v>
      </c>
      <c r="N29" s="268" t="str">
        <f t="shared" si="3"/>
        <v/>
      </c>
      <c r="O29" s="269" t="str">
        <f t="shared" si="4"/>
        <v/>
      </c>
      <c r="P29" s="270" t="str">
        <f t="shared" si="5"/>
        <v/>
      </c>
      <c r="Q29" s="292"/>
      <c r="R29" s="292"/>
      <c r="S29" s="292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</row>
    <row r="30" spans="1:199" s="239" customFormat="1" ht="18" customHeight="1" x14ac:dyDescent="0.15">
      <c r="A30" s="660"/>
      <c r="B30" s="51"/>
      <c r="C30" s="261" t="s">
        <v>489</v>
      </c>
      <c r="D30" s="240" t="s">
        <v>638</v>
      </c>
      <c r="E30" s="52">
        <v>0</v>
      </c>
      <c r="F30" s="455">
        <f>'4b. Stationary Comb. Factors'!$C$14/42</f>
        <v>0.1386904761904762</v>
      </c>
      <c r="G30" s="262" t="str">
        <f t="shared" si="6"/>
        <v/>
      </c>
      <c r="H30" s="272">
        <f>'4b. Stationary Comb. Factors'!$K$14</f>
        <v>163.08179999999999</v>
      </c>
      <c r="I30" s="264" t="str">
        <f t="shared" si="0"/>
        <v/>
      </c>
      <c r="J30" s="265">
        <f>'4b. Stationary Comb. Factors'!$K$30</f>
        <v>6.6137566137566134E-3</v>
      </c>
      <c r="K30" s="266" t="str">
        <f t="shared" si="1"/>
        <v/>
      </c>
      <c r="L30" s="266" t="str">
        <f t="shared" si="2"/>
        <v/>
      </c>
      <c r="M30" s="267">
        <f>'4b. Stationary Comb. Factors'!$K$41</f>
        <v>1.3227513227513227E-3</v>
      </c>
      <c r="N30" s="268" t="str">
        <f t="shared" si="3"/>
        <v/>
      </c>
      <c r="O30" s="269" t="str">
        <f t="shared" si="4"/>
        <v/>
      </c>
      <c r="P30" s="270" t="str">
        <f t="shared" si="5"/>
        <v/>
      </c>
      <c r="Q30" s="292"/>
      <c r="R30" s="292"/>
      <c r="S30" s="292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</row>
    <row r="31" spans="1:199" s="239" customFormat="1" ht="18" customHeight="1" x14ac:dyDescent="0.15">
      <c r="A31" s="660"/>
      <c r="B31" s="51"/>
      <c r="C31" s="261" t="s">
        <v>52</v>
      </c>
      <c r="D31" s="240" t="s">
        <v>638</v>
      </c>
      <c r="E31" s="52">
        <v>0</v>
      </c>
      <c r="F31" s="455">
        <f>'4b. Stationary Comb. Factors'!$C$13/42</f>
        <v>0.14969047619047618</v>
      </c>
      <c r="G31" s="262" t="str">
        <f t="shared" si="6"/>
        <v/>
      </c>
      <c r="H31" s="272">
        <f>'4b. Stationary Comb. Factors'!$K$13</f>
        <v>165.59549999999999</v>
      </c>
      <c r="I31" s="264" t="str">
        <f t="shared" si="0"/>
        <v/>
      </c>
      <c r="J31" s="265">
        <f>'4b. Stationary Comb. Factors'!$K$30</f>
        <v>6.6137566137566134E-3</v>
      </c>
      <c r="K31" s="266" t="str">
        <f t="shared" si="1"/>
        <v/>
      </c>
      <c r="L31" s="266" t="str">
        <f t="shared" si="2"/>
        <v/>
      </c>
      <c r="M31" s="267">
        <f>'4b. Stationary Comb. Factors'!$K$41</f>
        <v>1.3227513227513227E-3</v>
      </c>
      <c r="N31" s="268" t="str">
        <f t="shared" si="3"/>
        <v/>
      </c>
      <c r="O31" s="269" t="str">
        <f t="shared" si="4"/>
        <v/>
      </c>
      <c r="P31" s="270" t="str">
        <f t="shared" si="5"/>
        <v/>
      </c>
      <c r="Q31" s="292"/>
      <c r="R31" s="292"/>
      <c r="S31" s="292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</row>
    <row r="32" spans="1:199" s="239" customFormat="1" ht="18" customHeight="1" x14ac:dyDescent="0.15">
      <c r="A32" s="660"/>
      <c r="B32" s="51"/>
      <c r="C32" s="261" t="s">
        <v>52</v>
      </c>
      <c r="D32" s="240" t="s">
        <v>638</v>
      </c>
      <c r="E32" s="52">
        <v>0</v>
      </c>
      <c r="F32" s="455">
        <f>'4b. Stationary Comb. Factors'!$C$13/42</f>
        <v>0.14969047619047618</v>
      </c>
      <c r="G32" s="262" t="str">
        <f t="shared" si="6"/>
        <v/>
      </c>
      <c r="H32" s="272">
        <f>78.8*2.2</f>
        <v>173.36</v>
      </c>
      <c r="I32" s="264" t="str">
        <f t="shared" si="0"/>
        <v/>
      </c>
      <c r="J32" s="265">
        <f>'4b. Stationary Comb. Factors'!$K$30</f>
        <v>6.6137566137566134E-3</v>
      </c>
      <c r="K32" s="266" t="str">
        <f t="shared" si="1"/>
        <v/>
      </c>
      <c r="L32" s="266" t="str">
        <f t="shared" si="2"/>
        <v/>
      </c>
      <c r="M32" s="267">
        <f>'4b. Stationary Comb. Factors'!$K$41</f>
        <v>1.3227513227513227E-3</v>
      </c>
      <c r="N32" s="268" t="str">
        <f t="shared" si="3"/>
        <v/>
      </c>
      <c r="O32" s="269" t="str">
        <f t="shared" si="4"/>
        <v/>
      </c>
      <c r="P32" s="270" t="str">
        <f t="shared" si="5"/>
        <v/>
      </c>
      <c r="Q32" s="292"/>
      <c r="R32" s="292"/>
      <c r="S32" s="292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</row>
    <row r="33" spans="1:42" s="239" customFormat="1" ht="18" customHeight="1" x14ac:dyDescent="0.15">
      <c r="A33" s="660"/>
      <c r="B33" s="51"/>
      <c r="C33" s="261"/>
      <c r="D33" s="240"/>
      <c r="E33" s="52"/>
      <c r="F33" s="449"/>
      <c r="G33" s="262"/>
      <c r="H33" s="275"/>
      <c r="I33" s="264" t="str">
        <f t="shared" si="0"/>
        <v/>
      </c>
      <c r="J33" s="265"/>
      <c r="K33" s="266" t="str">
        <f t="shared" si="1"/>
        <v/>
      </c>
      <c r="L33" s="266" t="str">
        <f t="shared" si="2"/>
        <v/>
      </c>
      <c r="M33" s="267"/>
      <c r="N33" s="268" t="str">
        <f t="shared" si="3"/>
        <v/>
      </c>
      <c r="O33" s="269" t="str">
        <f t="shared" si="4"/>
        <v/>
      </c>
      <c r="P33" s="270" t="str">
        <f t="shared" si="5"/>
        <v/>
      </c>
      <c r="Q33" s="292"/>
      <c r="R33" s="292"/>
      <c r="S33" s="292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</row>
    <row r="34" spans="1:42" s="239" customFormat="1" ht="18" customHeight="1" x14ac:dyDescent="0.15">
      <c r="A34" s="660"/>
      <c r="B34" s="51"/>
      <c r="C34" s="261"/>
      <c r="D34" s="240"/>
      <c r="E34" s="52"/>
      <c r="F34" s="449"/>
      <c r="G34" s="262"/>
      <c r="H34" s="275"/>
      <c r="I34" s="264" t="str">
        <f t="shared" si="0"/>
        <v/>
      </c>
      <c r="J34" s="265"/>
      <c r="K34" s="266" t="str">
        <f t="shared" si="1"/>
        <v/>
      </c>
      <c r="L34" s="266" t="str">
        <f t="shared" si="2"/>
        <v/>
      </c>
      <c r="M34" s="267"/>
      <c r="N34" s="268" t="str">
        <f t="shared" si="3"/>
        <v/>
      </c>
      <c r="O34" s="269" t="str">
        <f t="shared" si="4"/>
        <v/>
      </c>
      <c r="P34" s="407" t="str">
        <f t="shared" si="5"/>
        <v/>
      </c>
      <c r="Q34" s="292"/>
      <c r="R34" s="292"/>
      <c r="S34" s="292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</row>
    <row r="35" spans="1:42" s="239" customFormat="1" ht="18" customHeight="1" x14ac:dyDescent="0.15">
      <c r="A35" s="660"/>
      <c r="B35" s="51"/>
      <c r="C35" s="261"/>
      <c r="D35" s="240"/>
      <c r="E35" s="52"/>
      <c r="F35" s="449"/>
      <c r="G35" s="262"/>
      <c r="H35" s="275"/>
      <c r="I35" s="264" t="str">
        <f t="shared" si="0"/>
        <v/>
      </c>
      <c r="J35" s="265"/>
      <c r="K35" s="266" t="str">
        <f t="shared" si="1"/>
        <v/>
      </c>
      <c r="L35" s="266" t="str">
        <f t="shared" si="2"/>
        <v/>
      </c>
      <c r="M35" s="267"/>
      <c r="N35" s="268" t="str">
        <f t="shared" si="3"/>
        <v/>
      </c>
      <c r="O35" s="269"/>
      <c r="P35" s="407" t="str">
        <f t="shared" si="5"/>
        <v/>
      </c>
      <c r="Q35" s="292"/>
      <c r="R35" s="292"/>
      <c r="S35" s="292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</row>
    <row r="36" spans="1:42" s="278" customFormat="1" ht="22.5" customHeight="1" thickBot="1" x14ac:dyDescent="0.2">
      <c r="A36" s="661"/>
      <c r="B36" s="641" t="s">
        <v>388</v>
      </c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6"/>
      <c r="P36" s="276">
        <f>SUM(P24:P35)</f>
        <v>0</v>
      </c>
      <c r="Q36" s="292"/>
      <c r="R36" s="292"/>
      <c r="S36" s="292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</row>
    <row r="37" spans="1:42" s="239" customFormat="1" ht="18" customHeight="1" thickTop="1" thickBot="1" x14ac:dyDescent="0.2">
      <c r="A37" s="659">
        <f>'1. Facility'!B9</f>
        <v>2</v>
      </c>
      <c r="B37" s="49"/>
      <c r="C37" s="251" t="s">
        <v>84</v>
      </c>
      <c r="D37" s="252" t="s">
        <v>637</v>
      </c>
      <c r="E37" s="50">
        <v>0</v>
      </c>
      <c r="F37" s="454">
        <f>'4b. Stationary Comb. Factors'!$C$22/1000000</f>
        <v>1.026E-3</v>
      </c>
      <c r="G37" s="253" t="str">
        <f>IF(E37&gt;0, E37*F37, "")</f>
        <v/>
      </c>
      <c r="H37" s="254">
        <f>'4b. Stationary Comb. Factors'!$K$22</f>
        <v>116.99730000000001</v>
      </c>
      <c r="I37" s="255" t="str">
        <f t="shared" ref="I37:I48" si="7">IF(E37&gt;0, G37*H37/2000, "")</f>
        <v/>
      </c>
      <c r="J37" s="256">
        <f>'4b. Stationary Comb. Factors'!$K$32</f>
        <v>2.2045855379188711E-3</v>
      </c>
      <c r="K37" s="257" t="str">
        <f t="shared" ref="K37:K48" si="8">IF(E37&gt;0, G37*J37/2000, "")</f>
        <v/>
      </c>
      <c r="L37" s="257" t="str">
        <f t="shared" ref="L37:L48" si="9">IF(E37&gt;0, $I$9*K37,"")</f>
        <v/>
      </c>
      <c r="M37" s="258">
        <f>'4b. Stationary Comb. Factors'!$K$43</f>
        <v>2.2045855379188711E-4</v>
      </c>
      <c r="N37" s="259" t="str">
        <f t="shared" ref="N37:N48" si="10">IF(E37&gt;0, M37*G37/2000,"")</f>
        <v/>
      </c>
      <c r="O37" s="260" t="str">
        <f t="shared" ref="O37:O47" si="11">IF(E37&gt;0, $I$10*N37, "")</f>
        <v/>
      </c>
      <c r="P37" s="406" t="str">
        <f t="shared" ref="P37:P48" si="12">IF(E37&gt;0, I37+L37+O37, "")</f>
        <v/>
      </c>
      <c r="Q37" s="291"/>
      <c r="R37" s="291"/>
      <c r="S37" s="291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</row>
    <row r="38" spans="1:42" s="239" customFormat="1" ht="18" customHeight="1" thickTop="1" thickBot="1" x14ac:dyDescent="0.2">
      <c r="A38" s="660"/>
      <c r="B38" s="51"/>
      <c r="C38" s="261" t="s">
        <v>84</v>
      </c>
      <c r="D38" s="240" t="s">
        <v>637</v>
      </c>
      <c r="E38" s="52">
        <v>0</v>
      </c>
      <c r="F38" s="454">
        <f>'4b. Stationary Comb. Factors'!$C$22/1000000</f>
        <v>1.026E-3</v>
      </c>
      <c r="G38" s="262" t="str">
        <f>IF(E38&gt;0, E38*F38, "")</f>
        <v/>
      </c>
      <c r="H38" s="263">
        <f>'4b. Stationary Comb. Factors'!$K$22</f>
        <v>116.99730000000001</v>
      </c>
      <c r="I38" s="264" t="str">
        <f t="shared" si="7"/>
        <v/>
      </c>
      <c r="J38" s="265">
        <f>'4b. Stationary Comb. Factors'!$K$32</f>
        <v>2.2045855379188711E-3</v>
      </c>
      <c r="K38" s="266" t="str">
        <f t="shared" si="8"/>
        <v/>
      </c>
      <c r="L38" s="266" t="str">
        <f t="shared" si="9"/>
        <v/>
      </c>
      <c r="M38" s="267">
        <f>'4b. Stationary Comb. Factors'!$K$43</f>
        <v>2.2045855379188711E-4</v>
      </c>
      <c r="N38" s="268" t="str">
        <f t="shared" si="10"/>
        <v/>
      </c>
      <c r="O38" s="269" t="str">
        <f t="shared" si="11"/>
        <v/>
      </c>
      <c r="P38" s="135" t="str">
        <f t="shared" si="12"/>
        <v/>
      </c>
      <c r="Q38" s="292"/>
      <c r="R38" s="292"/>
      <c r="S38" s="292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</row>
    <row r="39" spans="1:42" s="239" customFormat="1" ht="18" customHeight="1" thickTop="1" x14ac:dyDescent="0.15">
      <c r="A39" s="660"/>
      <c r="B39" s="51"/>
      <c r="C39" s="261" t="s">
        <v>84</v>
      </c>
      <c r="D39" s="240" t="s">
        <v>638</v>
      </c>
      <c r="E39" s="52">
        <v>0</v>
      </c>
      <c r="F39" s="454">
        <f>'4b. Stationary Comb. Factors'!$C$22/1000000</f>
        <v>1.026E-3</v>
      </c>
      <c r="G39" s="262" t="str">
        <f t="shared" ref="G39:G45" si="13">IF(E39&gt;0, E39*F39, "")</f>
        <v/>
      </c>
      <c r="H39" s="271">
        <f>'4b. Stationary Comb. Factors'!$K$22</f>
        <v>116.99730000000001</v>
      </c>
      <c r="I39" s="264" t="str">
        <f t="shared" si="7"/>
        <v/>
      </c>
      <c r="J39" s="265">
        <f>'4b. Stationary Comb. Factors'!$K$32</f>
        <v>2.2045855379188711E-3</v>
      </c>
      <c r="K39" s="266" t="str">
        <f t="shared" si="8"/>
        <v/>
      </c>
      <c r="L39" s="266" t="str">
        <f t="shared" si="9"/>
        <v/>
      </c>
      <c r="M39" s="267">
        <f>'4b. Stationary Comb. Factors'!$K$43</f>
        <v>2.2045855379188711E-4</v>
      </c>
      <c r="N39" s="268" t="str">
        <f t="shared" si="10"/>
        <v/>
      </c>
      <c r="O39" s="269" t="str">
        <f t="shared" si="11"/>
        <v/>
      </c>
      <c r="P39" s="270" t="str">
        <f t="shared" si="12"/>
        <v/>
      </c>
      <c r="Q39" s="292"/>
      <c r="R39" s="292"/>
      <c r="S39" s="292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</row>
    <row r="40" spans="1:42" s="239" customFormat="1" ht="18" customHeight="1" x14ac:dyDescent="0.15">
      <c r="A40" s="660"/>
      <c r="B40" s="51"/>
      <c r="C40" s="261" t="s">
        <v>51</v>
      </c>
      <c r="D40" s="240" t="s">
        <v>638</v>
      </c>
      <c r="E40" s="52">
        <v>0</v>
      </c>
      <c r="F40" s="455">
        <f>'4b. Stationary Comb. Factors'!$C$17/42</f>
        <v>9.1047619047619044E-2</v>
      </c>
      <c r="G40" s="262" t="str">
        <f t="shared" si="13"/>
        <v/>
      </c>
      <c r="H40" s="272">
        <f>'4b. Stationary Comb. Factors'!$K$17</f>
        <v>138.62835000000001</v>
      </c>
      <c r="I40" s="264" t="str">
        <f t="shared" si="7"/>
        <v/>
      </c>
      <c r="J40" s="265">
        <f>'4b. Stationary Comb. Factors'!$K$32</f>
        <v>2.2045855379188711E-3</v>
      </c>
      <c r="K40" s="266" t="str">
        <f t="shared" si="8"/>
        <v/>
      </c>
      <c r="L40" s="266" t="str">
        <f t="shared" si="9"/>
        <v/>
      </c>
      <c r="M40" s="267">
        <f>'4b. Stationary Comb. Factors'!$K$43</f>
        <v>2.2045855379188711E-4</v>
      </c>
      <c r="N40" s="268" t="str">
        <f t="shared" si="10"/>
        <v/>
      </c>
      <c r="O40" s="269" t="str">
        <f t="shared" si="11"/>
        <v/>
      </c>
      <c r="P40" s="270" t="str">
        <f t="shared" si="12"/>
        <v/>
      </c>
      <c r="Q40" s="292"/>
      <c r="R40" s="292"/>
      <c r="S40" s="292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</row>
    <row r="41" spans="1:42" s="239" customFormat="1" ht="18" customHeight="1" x14ac:dyDescent="0.15">
      <c r="A41" s="660"/>
      <c r="B41" s="51"/>
      <c r="C41" s="261" t="s">
        <v>51</v>
      </c>
      <c r="D41" s="240" t="s">
        <v>638</v>
      </c>
      <c r="E41" s="52">
        <v>0</v>
      </c>
      <c r="F41" s="455">
        <f>'4b. Stationary Comb. Factors'!$C$17/42</f>
        <v>9.1047619047619044E-2</v>
      </c>
      <c r="G41" s="262" t="str">
        <f t="shared" si="13"/>
        <v/>
      </c>
      <c r="H41" s="272">
        <f>'4b. Stationary Comb. Factors'!$K$17</f>
        <v>138.62835000000001</v>
      </c>
      <c r="I41" s="264" t="str">
        <f t="shared" si="7"/>
        <v/>
      </c>
      <c r="J41" s="273">
        <f>'4b. Stationary Comb. Factors'!$K$32</f>
        <v>2.2045855379188711E-3</v>
      </c>
      <c r="K41" s="266" t="str">
        <f t="shared" si="8"/>
        <v/>
      </c>
      <c r="L41" s="266" t="str">
        <f t="shared" si="9"/>
        <v/>
      </c>
      <c r="M41" s="274">
        <f>'4b. Stationary Comb. Factors'!$K$43</f>
        <v>2.2045855379188711E-4</v>
      </c>
      <c r="N41" s="268" t="str">
        <f t="shared" si="10"/>
        <v/>
      </c>
      <c r="O41" s="269" t="str">
        <f t="shared" si="11"/>
        <v/>
      </c>
      <c r="P41" s="270" t="str">
        <f t="shared" si="12"/>
        <v/>
      </c>
      <c r="Q41" s="292"/>
      <c r="R41" s="292"/>
      <c r="S41" s="292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</row>
    <row r="42" spans="1:42" s="239" customFormat="1" ht="18" customHeight="1" x14ac:dyDescent="0.15">
      <c r="A42" s="660"/>
      <c r="B42" s="51"/>
      <c r="C42" s="261" t="s">
        <v>489</v>
      </c>
      <c r="D42" s="240" t="s">
        <v>638</v>
      </c>
      <c r="E42" s="52">
        <v>0</v>
      </c>
      <c r="F42" s="455">
        <f>'4b. Stationary Comb. Factors'!$C$14/42</f>
        <v>0.1386904761904762</v>
      </c>
      <c r="G42" s="262" t="str">
        <f t="shared" si="13"/>
        <v/>
      </c>
      <c r="H42" s="272">
        <f>'4b. Stationary Comb. Factors'!$K$14</f>
        <v>163.08179999999999</v>
      </c>
      <c r="I42" s="264" t="str">
        <f t="shared" si="7"/>
        <v/>
      </c>
      <c r="J42" s="265">
        <f>'4b. Stationary Comb. Factors'!$K$30</f>
        <v>6.6137566137566134E-3</v>
      </c>
      <c r="K42" s="266" t="str">
        <f t="shared" si="8"/>
        <v/>
      </c>
      <c r="L42" s="266" t="str">
        <f t="shared" si="9"/>
        <v/>
      </c>
      <c r="M42" s="267">
        <f>'4b. Stationary Comb. Factors'!$K$41</f>
        <v>1.3227513227513227E-3</v>
      </c>
      <c r="N42" s="268" t="str">
        <f t="shared" si="10"/>
        <v/>
      </c>
      <c r="O42" s="269" t="str">
        <f t="shared" si="11"/>
        <v/>
      </c>
      <c r="P42" s="270" t="str">
        <f t="shared" si="12"/>
        <v/>
      </c>
      <c r="Q42" s="292"/>
      <c r="R42" s="292"/>
      <c r="S42" s="292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</row>
    <row r="43" spans="1:42" s="239" customFormat="1" ht="18" customHeight="1" x14ac:dyDescent="0.15">
      <c r="A43" s="660"/>
      <c r="B43" s="51"/>
      <c r="C43" s="261" t="s">
        <v>489</v>
      </c>
      <c r="D43" s="240" t="s">
        <v>638</v>
      </c>
      <c r="E43" s="52">
        <v>0</v>
      </c>
      <c r="F43" s="455">
        <f>'4b. Stationary Comb. Factors'!$C$14/42</f>
        <v>0.1386904761904762</v>
      </c>
      <c r="G43" s="262" t="str">
        <f t="shared" si="13"/>
        <v/>
      </c>
      <c r="H43" s="272">
        <f>'4b. Stationary Comb. Factors'!$K$14</f>
        <v>163.08179999999999</v>
      </c>
      <c r="I43" s="264" t="str">
        <f t="shared" si="7"/>
        <v/>
      </c>
      <c r="J43" s="265">
        <f>'4b. Stationary Comb. Factors'!$K$30</f>
        <v>6.6137566137566134E-3</v>
      </c>
      <c r="K43" s="266" t="str">
        <f t="shared" si="8"/>
        <v/>
      </c>
      <c r="L43" s="266" t="str">
        <f t="shared" si="9"/>
        <v/>
      </c>
      <c r="M43" s="267">
        <f>'4b. Stationary Comb. Factors'!$K$41</f>
        <v>1.3227513227513227E-3</v>
      </c>
      <c r="N43" s="268" t="str">
        <f t="shared" si="10"/>
        <v/>
      </c>
      <c r="O43" s="269" t="str">
        <f t="shared" si="11"/>
        <v/>
      </c>
      <c r="P43" s="270" t="str">
        <f t="shared" si="12"/>
        <v/>
      </c>
      <c r="Q43" s="292"/>
      <c r="R43" s="292"/>
      <c r="S43" s="292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</row>
    <row r="44" spans="1:42" s="239" customFormat="1" ht="18" customHeight="1" x14ac:dyDescent="0.15">
      <c r="A44" s="660"/>
      <c r="B44" s="51"/>
      <c r="C44" s="261" t="s">
        <v>52</v>
      </c>
      <c r="D44" s="240" t="s">
        <v>638</v>
      </c>
      <c r="E44" s="52">
        <v>0</v>
      </c>
      <c r="F44" s="455">
        <f>'4b. Stationary Comb. Factors'!$C$13/42</f>
        <v>0.14969047619047618</v>
      </c>
      <c r="G44" s="262" t="str">
        <f t="shared" si="13"/>
        <v/>
      </c>
      <c r="H44" s="272">
        <f>'4b. Stationary Comb. Factors'!$K$13</f>
        <v>165.59549999999999</v>
      </c>
      <c r="I44" s="264" t="str">
        <f t="shared" si="7"/>
        <v/>
      </c>
      <c r="J44" s="265">
        <f>'4b. Stationary Comb. Factors'!$K$30</f>
        <v>6.6137566137566134E-3</v>
      </c>
      <c r="K44" s="266" t="str">
        <f t="shared" si="8"/>
        <v/>
      </c>
      <c r="L44" s="266" t="str">
        <f t="shared" si="9"/>
        <v/>
      </c>
      <c r="M44" s="267">
        <f>'4b. Stationary Comb. Factors'!$K$41</f>
        <v>1.3227513227513227E-3</v>
      </c>
      <c r="N44" s="268" t="str">
        <f t="shared" si="10"/>
        <v/>
      </c>
      <c r="O44" s="269" t="str">
        <f t="shared" si="11"/>
        <v/>
      </c>
      <c r="P44" s="270" t="str">
        <f t="shared" si="12"/>
        <v/>
      </c>
      <c r="Q44" s="292"/>
      <c r="R44" s="292"/>
      <c r="S44" s="292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</row>
    <row r="45" spans="1:42" s="239" customFormat="1" ht="18" customHeight="1" x14ac:dyDescent="0.15">
      <c r="A45" s="660"/>
      <c r="B45" s="51"/>
      <c r="C45" s="261" t="s">
        <v>52</v>
      </c>
      <c r="D45" s="240" t="s">
        <v>638</v>
      </c>
      <c r="E45" s="52">
        <v>0</v>
      </c>
      <c r="F45" s="455">
        <f>'4b. Stationary Comb. Factors'!$C$13/42</f>
        <v>0.14969047619047618</v>
      </c>
      <c r="G45" s="262" t="str">
        <f t="shared" si="13"/>
        <v/>
      </c>
      <c r="H45" s="272">
        <f>78.8*2.2</f>
        <v>173.36</v>
      </c>
      <c r="I45" s="264" t="str">
        <f t="shared" si="7"/>
        <v/>
      </c>
      <c r="J45" s="265">
        <f>'4b. Stationary Comb. Factors'!$K$30</f>
        <v>6.6137566137566134E-3</v>
      </c>
      <c r="K45" s="266" t="str">
        <f t="shared" si="8"/>
        <v/>
      </c>
      <c r="L45" s="266" t="str">
        <f t="shared" si="9"/>
        <v/>
      </c>
      <c r="M45" s="267">
        <f>'4b. Stationary Comb. Factors'!$K$41</f>
        <v>1.3227513227513227E-3</v>
      </c>
      <c r="N45" s="268" t="str">
        <f t="shared" si="10"/>
        <v/>
      </c>
      <c r="O45" s="269" t="str">
        <f t="shared" si="11"/>
        <v/>
      </c>
      <c r="P45" s="270" t="str">
        <f t="shared" si="12"/>
        <v/>
      </c>
      <c r="Q45" s="292"/>
      <c r="R45" s="292"/>
      <c r="S45" s="292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</row>
    <row r="46" spans="1:42" s="239" customFormat="1" ht="18" customHeight="1" x14ac:dyDescent="0.15">
      <c r="A46" s="660"/>
      <c r="B46" s="51"/>
      <c r="C46" s="261"/>
      <c r="D46" s="240"/>
      <c r="E46" s="52"/>
      <c r="F46" s="449"/>
      <c r="G46" s="262"/>
      <c r="H46" s="275"/>
      <c r="I46" s="264" t="str">
        <f t="shared" si="7"/>
        <v/>
      </c>
      <c r="J46" s="265"/>
      <c r="K46" s="266" t="str">
        <f t="shared" si="8"/>
        <v/>
      </c>
      <c r="L46" s="266" t="str">
        <f t="shared" si="9"/>
        <v/>
      </c>
      <c r="M46" s="267"/>
      <c r="N46" s="268" t="str">
        <f t="shared" si="10"/>
        <v/>
      </c>
      <c r="O46" s="269" t="str">
        <f t="shared" si="11"/>
        <v/>
      </c>
      <c r="P46" s="270" t="str">
        <f t="shared" si="12"/>
        <v/>
      </c>
      <c r="Q46" s="292"/>
      <c r="R46" s="292"/>
      <c r="S46" s="292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</row>
    <row r="47" spans="1:42" s="239" customFormat="1" ht="18" customHeight="1" x14ac:dyDescent="0.15">
      <c r="A47" s="660"/>
      <c r="B47" s="51"/>
      <c r="C47" s="261"/>
      <c r="D47" s="240"/>
      <c r="E47" s="52"/>
      <c r="F47" s="449"/>
      <c r="G47" s="262"/>
      <c r="H47" s="275"/>
      <c r="I47" s="264" t="str">
        <f t="shared" si="7"/>
        <v/>
      </c>
      <c r="J47" s="265"/>
      <c r="K47" s="266" t="str">
        <f t="shared" si="8"/>
        <v/>
      </c>
      <c r="L47" s="266" t="str">
        <f t="shared" si="9"/>
        <v/>
      </c>
      <c r="M47" s="267"/>
      <c r="N47" s="268" t="str">
        <f t="shared" si="10"/>
        <v/>
      </c>
      <c r="O47" s="269" t="str">
        <f t="shared" si="11"/>
        <v/>
      </c>
      <c r="P47" s="407" t="str">
        <f t="shared" si="12"/>
        <v/>
      </c>
      <c r="Q47" s="292"/>
      <c r="R47" s="292"/>
      <c r="S47" s="292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</row>
    <row r="48" spans="1:42" s="239" customFormat="1" ht="18" customHeight="1" x14ac:dyDescent="0.15">
      <c r="A48" s="660"/>
      <c r="B48" s="51"/>
      <c r="C48" s="261"/>
      <c r="D48" s="240"/>
      <c r="E48" s="52"/>
      <c r="F48" s="449"/>
      <c r="G48" s="262"/>
      <c r="H48" s="275"/>
      <c r="I48" s="264" t="str">
        <f t="shared" si="7"/>
        <v/>
      </c>
      <c r="J48" s="265"/>
      <c r="K48" s="266" t="str">
        <f t="shared" si="8"/>
        <v/>
      </c>
      <c r="L48" s="266" t="str">
        <f t="shared" si="9"/>
        <v/>
      </c>
      <c r="M48" s="267"/>
      <c r="N48" s="268" t="str">
        <f t="shared" si="10"/>
        <v/>
      </c>
      <c r="O48" s="269"/>
      <c r="P48" s="407" t="str">
        <f t="shared" si="12"/>
        <v/>
      </c>
      <c r="Q48" s="292"/>
      <c r="R48" s="292"/>
      <c r="S48" s="292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</row>
    <row r="49" spans="1:42" s="278" customFormat="1" ht="22.5" customHeight="1" thickBot="1" x14ac:dyDescent="0.2">
      <c r="A49" s="661"/>
      <c r="B49" s="641" t="s">
        <v>388</v>
      </c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6"/>
      <c r="P49" s="276">
        <f>SUM(P37:P48)</f>
        <v>0</v>
      </c>
      <c r="Q49" s="292"/>
      <c r="R49" s="292"/>
      <c r="S49" s="292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</row>
    <row r="50" spans="1:42" s="239" customFormat="1" ht="18" customHeight="1" thickTop="1" thickBot="1" x14ac:dyDescent="0.2">
      <c r="A50" s="636">
        <f>'1. Facility'!B10</f>
        <v>3</v>
      </c>
      <c r="B50" s="49"/>
      <c r="C50" s="251" t="s">
        <v>84</v>
      </c>
      <c r="D50" s="252" t="s">
        <v>637</v>
      </c>
      <c r="E50" s="50">
        <v>0</v>
      </c>
      <c r="F50" s="454">
        <f>'4b. Stationary Comb. Factors'!$C$22/1000000</f>
        <v>1.026E-3</v>
      </c>
      <c r="G50" s="253" t="str">
        <f>IF(E50&gt;0, E50*F50, "")</f>
        <v/>
      </c>
      <c r="H50" s="254">
        <f>'4b. Stationary Comb. Factors'!$K$22</f>
        <v>116.99730000000001</v>
      </c>
      <c r="I50" s="255" t="str">
        <f t="shared" ref="I50:I61" si="14">IF(E50&gt;0, G50*H50/2000, "")</f>
        <v/>
      </c>
      <c r="J50" s="256">
        <f>'4b. Stationary Comb. Factors'!$K$32</f>
        <v>2.2045855379188711E-3</v>
      </c>
      <c r="K50" s="257" t="str">
        <f t="shared" ref="K50:K61" si="15">IF(E50&gt;0, G50*J50/2000, "")</f>
        <v/>
      </c>
      <c r="L50" s="257" t="str">
        <f t="shared" ref="L50:L61" si="16">IF(E50&gt;0, $I$9*K50,"")</f>
        <v/>
      </c>
      <c r="M50" s="258">
        <f>'4b. Stationary Comb. Factors'!$K$43</f>
        <v>2.2045855379188711E-4</v>
      </c>
      <c r="N50" s="259" t="str">
        <f t="shared" ref="N50:N61" si="17">IF(E50&gt;0, M50*G50/2000,"")</f>
        <v/>
      </c>
      <c r="O50" s="260" t="str">
        <f t="shared" ref="O50:O60" si="18">IF(E50&gt;0, $I$10*N50, "")</f>
        <v/>
      </c>
      <c r="P50" s="406" t="str">
        <f t="shared" ref="P50:P61" si="19">IF(E50&gt;0, I50+L50+O50, "")</f>
        <v/>
      </c>
      <c r="Q50" s="291"/>
      <c r="R50" s="291"/>
      <c r="S50" s="291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</row>
    <row r="51" spans="1:42" s="239" customFormat="1" ht="18" customHeight="1" thickTop="1" thickBot="1" x14ac:dyDescent="0.2">
      <c r="A51" s="637"/>
      <c r="B51" s="51"/>
      <c r="C51" s="261" t="s">
        <v>84</v>
      </c>
      <c r="D51" s="240" t="s">
        <v>637</v>
      </c>
      <c r="E51" s="52">
        <v>0</v>
      </c>
      <c r="F51" s="454">
        <f>'4b. Stationary Comb. Factors'!$C$22/1000000</f>
        <v>1.026E-3</v>
      </c>
      <c r="G51" s="262" t="str">
        <f>IF(E51&gt;0, E51*F51, "")</f>
        <v/>
      </c>
      <c r="H51" s="263">
        <f>'4b. Stationary Comb. Factors'!$K$22</f>
        <v>116.99730000000001</v>
      </c>
      <c r="I51" s="264" t="str">
        <f t="shared" si="14"/>
        <v/>
      </c>
      <c r="J51" s="265">
        <f>'4b. Stationary Comb. Factors'!$K$32</f>
        <v>2.2045855379188711E-3</v>
      </c>
      <c r="K51" s="266" t="str">
        <f t="shared" si="15"/>
        <v/>
      </c>
      <c r="L51" s="266" t="str">
        <f t="shared" si="16"/>
        <v/>
      </c>
      <c r="M51" s="267">
        <f>'4b. Stationary Comb. Factors'!$K$43</f>
        <v>2.2045855379188711E-4</v>
      </c>
      <c r="N51" s="268" t="str">
        <f t="shared" si="17"/>
        <v/>
      </c>
      <c r="O51" s="269" t="str">
        <f t="shared" si="18"/>
        <v/>
      </c>
      <c r="P51" s="135" t="str">
        <f t="shared" si="19"/>
        <v/>
      </c>
      <c r="Q51" s="292"/>
      <c r="R51" s="292"/>
      <c r="S51" s="292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</row>
    <row r="52" spans="1:42" s="239" customFormat="1" ht="18" customHeight="1" thickTop="1" x14ac:dyDescent="0.15">
      <c r="A52" s="637"/>
      <c r="B52" s="51"/>
      <c r="C52" s="261" t="s">
        <v>84</v>
      </c>
      <c r="D52" s="240" t="s">
        <v>638</v>
      </c>
      <c r="E52" s="52">
        <v>0</v>
      </c>
      <c r="F52" s="454">
        <f>'4b. Stationary Comb. Factors'!$C$22/1000000</f>
        <v>1.026E-3</v>
      </c>
      <c r="G52" s="262" t="str">
        <f t="shared" ref="G52:G58" si="20">IF(E52&gt;0, E52*F52, "")</f>
        <v/>
      </c>
      <c r="H52" s="271">
        <f>'4b. Stationary Comb. Factors'!$K$22</f>
        <v>116.99730000000001</v>
      </c>
      <c r="I52" s="264" t="str">
        <f t="shared" si="14"/>
        <v/>
      </c>
      <c r="J52" s="265">
        <f>'4b. Stationary Comb. Factors'!$K$32</f>
        <v>2.2045855379188711E-3</v>
      </c>
      <c r="K52" s="266" t="str">
        <f t="shared" si="15"/>
        <v/>
      </c>
      <c r="L52" s="266" t="str">
        <f t="shared" si="16"/>
        <v/>
      </c>
      <c r="M52" s="267">
        <f>'4b. Stationary Comb. Factors'!$K$43</f>
        <v>2.2045855379188711E-4</v>
      </c>
      <c r="N52" s="268" t="str">
        <f t="shared" si="17"/>
        <v/>
      </c>
      <c r="O52" s="269" t="str">
        <f t="shared" si="18"/>
        <v/>
      </c>
      <c r="P52" s="270" t="str">
        <f t="shared" si="19"/>
        <v/>
      </c>
      <c r="Q52" s="292"/>
      <c r="R52" s="292"/>
      <c r="S52" s="292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</row>
    <row r="53" spans="1:42" s="239" customFormat="1" ht="18" customHeight="1" x14ac:dyDescent="0.15">
      <c r="A53" s="637"/>
      <c r="B53" s="51"/>
      <c r="C53" s="261" t="s">
        <v>51</v>
      </c>
      <c r="D53" s="240" t="s">
        <v>638</v>
      </c>
      <c r="E53" s="52">
        <v>0</v>
      </c>
      <c r="F53" s="455">
        <f>'4b. Stationary Comb. Factors'!$C$17/42</f>
        <v>9.1047619047619044E-2</v>
      </c>
      <c r="G53" s="262" t="str">
        <f t="shared" si="20"/>
        <v/>
      </c>
      <c r="H53" s="272">
        <f>'4b. Stationary Comb. Factors'!$K$17</f>
        <v>138.62835000000001</v>
      </c>
      <c r="I53" s="264" t="str">
        <f t="shared" si="14"/>
        <v/>
      </c>
      <c r="J53" s="265">
        <f>'4b. Stationary Comb. Factors'!$K$32</f>
        <v>2.2045855379188711E-3</v>
      </c>
      <c r="K53" s="266" t="str">
        <f t="shared" si="15"/>
        <v/>
      </c>
      <c r="L53" s="266" t="str">
        <f t="shared" si="16"/>
        <v/>
      </c>
      <c r="M53" s="267">
        <f>'4b. Stationary Comb. Factors'!$K$43</f>
        <v>2.2045855379188711E-4</v>
      </c>
      <c r="N53" s="268" t="str">
        <f t="shared" si="17"/>
        <v/>
      </c>
      <c r="O53" s="269" t="str">
        <f t="shared" si="18"/>
        <v/>
      </c>
      <c r="P53" s="270" t="str">
        <f t="shared" si="19"/>
        <v/>
      </c>
      <c r="Q53" s="292"/>
      <c r="R53" s="292"/>
      <c r="S53" s="292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</row>
    <row r="54" spans="1:42" s="239" customFormat="1" ht="18" customHeight="1" x14ac:dyDescent="0.15">
      <c r="A54" s="637"/>
      <c r="B54" s="51"/>
      <c r="C54" s="261" t="s">
        <v>51</v>
      </c>
      <c r="D54" s="240" t="s">
        <v>638</v>
      </c>
      <c r="E54" s="52">
        <v>0</v>
      </c>
      <c r="F54" s="455">
        <f>'4b. Stationary Comb. Factors'!$C$17/42</f>
        <v>9.1047619047619044E-2</v>
      </c>
      <c r="G54" s="262" t="str">
        <f t="shared" si="20"/>
        <v/>
      </c>
      <c r="H54" s="272">
        <f>'4b. Stationary Comb. Factors'!$K$17</f>
        <v>138.62835000000001</v>
      </c>
      <c r="I54" s="264" t="str">
        <f t="shared" si="14"/>
        <v/>
      </c>
      <c r="J54" s="273">
        <f>'4b. Stationary Comb. Factors'!$K$32</f>
        <v>2.2045855379188711E-3</v>
      </c>
      <c r="K54" s="266" t="str">
        <f t="shared" si="15"/>
        <v/>
      </c>
      <c r="L54" s="266" t="str">
        <f t="shared" si="16"/>
        <v/>
      </c>
      <c r="M54" s="274">
        <f>'4b. Stationary Comb. Factors'!$K$43</f>
        <v>2.2045855379188711E-4</v>
      </c>
      <c r="N54" s="268" t="str">
        <f t="shared" si="17"/>
        <v/>
      </c>
      <c r="O54" s="269" t="str">
        <f t="shared" si="18"/>
        <v/>
      </c>
      <c r="P54" s="270" t="str">
        <f t="shared" si="19"/>
        <v/>
      </c>
      <c r="Q54" s="292"/>
      <c r="R54" s="292"/>
      <c r="S54" s="292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</row>
    <row r="55" spans="1:42" s="239" customFormat="1" ht="18" customHeight="1" x14ac:dyDescent="0.15">
      <c r="A55" s="637"/>
      <c r="B55" s="51"/>
      <c r="C55" s="261" t="s">
        <v>489</v>
      </c>
      <c r="D55" s="240" t="s">
        <v>638</v>
      </c>
      <c r="E55" s="52">
        <v>0</v>
      </c>
      <c r="F55" s="455">
        <f>'4b. Stationary Comb. Factors'!$C$14/42</f>
        <v>0.1386904761904762</v>
      </c>
      <c r="G55" s="262" t="str">
        <f t="shared" si="20"/>
        <v/>
      </c>
      <c r="H55" s="272">
        <f>'4b. Stationary Comb. Factors'!$K$14</f>
        <v>163.08179999999999</v>
      </c>
      <c r="I55" s="264" t="str">
        <f t="shared" si="14"/>
        <v/>
      </c>
      <c r="J55" s="265">
        <f>'4b. Stationary Comb. Factors'!$K$30</f>
        <v>6.6137566137566134E-3</v>
      </c>
      <c r="K55" s="266" t="str">
        <f t="shared" si="15"/>
        <v/>
      </c>
      <c r="L55" s="266" t="str">
        <f t="shared" si="16"/>
        <v/>
      </c>
      <c r="M55" s="267">
        <f>'4b. Stationary Comb. Factors'!$K$41</f>
        <v>1.3227513227513227E-3</v>
      </c>
      <c r="N55" s="268" t="str">
        <f t="shared" si="17"/>
        <v/>
      </c>
      <c r="O55" s="269" t="str">
        <f t="shared" si="18"/>
        <v/>
      </c>
      <c r="P55" s="270" t="str">
        <f t="shared" si="19"/>
        <v/>
      </c>
      <c r="Q55" s="292"/>
      <c r="R55" s="292"/>
      <c r="S55" s="292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</row>
    <row r="56" spans="1:42" s="239" customFormat="1" ht="18" customHeight="1" x14ac:dyDescent="0.15">
      <c r="A56" s="637"/>
      <c r="B56" s="51"/>
      <c r="C56" s="261" t="s">
        <v>489</v>
      </c>
      <c r="D56" s="240" t="s">
        <v>638</v>
      </c>
      <c r="E56" s="52">
        <v>0</v>
      </c>
      <c r="F56" s="455">
        <f>'4b. Stationary Comb. Factors'!$C$14/42</f>
        <v>0.1386904761904762</v>
      </c>
      <c r="G56" s="262" t="str">
        <f t="shared" si="20"/>
        <v/>
      </c>
      <c r="H56" s="272">
        <f>'4b. Stationary Comb. Factors'!$K$14</f>
        <v>163.08179999999999</v>
      </c>
      <c r="I56" s="264" t="str">
        <f t="shared" si="14"/>
        <v/>
      </c>
      <c r="J56" s="265">
        <f>'4b. Stationary Comb. Factors'!$K$30</f>
        <v>6.6137566137566134E-3</v>
      </c>
      <c r="K56" s="266" t="str">
        <f t="shared" si="15"/>
        <v/>
      </c>
      <c r="L56" s="266" t="str">
        <f t="shared" si="16"/>
        <v/>
      </c>
      <c r="M56" s="267">
        <f>'4b. Stationary Comb. Factors'!$K$41</f>
        <v>1.3227513227513227E-3</v>
      </c>
      <c r="N56" s="268" t="str">
        <f t="shared" si="17"/>
        <v/>
      </c>
      <c r="O56" s="269" t="str">
        <f t="shared" si="18"/>
        <v/>
      </c>
      <c r="P56" s="270" t="str">
        <f t="shared" si="19"/>
        <v/>
      </c>
      <c r="Q56" s="292"/>
      <c r="R56" s="292"/>
      <c r="S56" s="292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</row>
    <row r="57" spans="1:42" s="239" customFormat="1" ht="18" customHeight="1" x14ac:dyDescent="0.15">
      <c r="A57" s="637"/>
      <c r="B57" s="51"/>
      <c r="C57" s="261" t="s">
        <v>52</v>
      </c>
      <c r="D57" s="240" t="s">
        <v>638</v>
      </c>
      <c r="E57" s="52">
        <v>0</v>
      </c>
      <c r="F57" s="455">
        <f>'4b. Stationary Comb. Factors'!$C$13/42</f>
        <v>0.14969047619047618</v>
      </c>
      <c r="G57" s="262" t="str">
        <f t="shared" si="20"/>
        <v/>
      </c>
      <c r="H57" s="272">
        <f>'4b. Stationary Comb. Factors'!$K$13</f>
        <v>165.59549999999999</v>
      </c>
      <c r="I57" s="264" t="str">
        <f t="shared" si="14"/>
        <v/>
      </c>
      <c r="J57" s="265">
        <f>'4b. Stationary Comb. Factors'!$K$30</f>
        <v>6.6137566137566134E-3</v>
      </c>
      <c r="K57" s="266" t="str">
        <f t="shared" si="15"/>
        <v/>
      </c>
      <c r="L57" s="266" t="str">
        <f t="shared" si="16"/>
        <v/>
      </c>
      <c r="M57" s="267">
        <f>'4b. Stationary Comb. Factors'!$K$41</f>
        <v>1.3227513227513227E-3</v>
      </c>
      <c r="N57" s="268" t="str">
        <f t="shared" si="17"/>
        <v/>
      </c>
      <c r="O57" s="269" t="str">
        <f t="shared" si="18"/>
        <v/>
      </c>
      <c r="P57" s="270" t="str">
        <f t="shared" si="19"/>
        <v/>
      </c>
      <c r="Q57" s="292"/>
      <c r="R57" s="292"/>
      <c r="S57" s="292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</row>
    <row r="58" spans="1:42" s="239" customFormat="1" ht="18" customHeight="1" x14ac:dyDescent="0.15">
      <c r="A58" s="637"/>
      <c r="B58" s="51"/>
      <c r="C58" s="261" t="s">
        <v>52</v>
      </c>
      <c r="D58" s="240" t="s">
        <v>638</v>
      </c>
      <c r="E58" s="52">
        <v>0</v>
      </c>
      <c r="F58" s="455">
        <f>'4b. Stationary Comb. Factors'!$C$13/42</f>
        <v>0.14969047619047618</v>
      </c>
      <c r="G58" s="262" t="str">
        <f t="shared" si="20"/>
        <v/>
      </c>
      <c r="H58" s="272">
        <f>78.8*2.2</f>
        <v>173.36</v>
      </c>
      <c r="I58" s="264" t="str">
        <f t="shared" si="14"/>
        <v/>
      </c>
      <c r="J58" s="265">
        <f>'4b. Stationary Comb. Factors'!$K$30</f>
        <v>6.6137566137566134E-3</v>
      </c>
      <c r="K58" s="266" t="str">
        <f t="shared" si="15"/>
        <v/>
      </c>
      <c r="L58" s="266" t="str">
        <f t="shared" si="16"/>
        <v/>
      </c>
      <c r="M58" s="267">
        <f>'4b. Stationary Comb. Factors'!$K$41</f>
        <v>1.3227513227513227E-3</v>
      </c>
      <c r="N58" s="268" t="str">
        <f t="shared" si="17"/>
        <v/>
      </c>
      <c r="O58" s="269" t="str">
        <f t="shared" si="18"/>
        <v/>
      </c>
      <c r="P58" s="270" t="str">
        <f t="shared" si="19"/>
        <v/>
      </c>
      <c r="Q58" s="292"/>
      <c r="R58" s="292"/>
      <c r="S58" s="292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</row>
    <row r="59" spans="1:42" s="239" customFormat="1" ht="18" customHeight="1" x14ac:dyDescent="0.15">
      <c r="A59" s="637"/>
      <c r="B59" s="51"/>
      <c r="C59" s="261"/>
      <c r="D59" s="240"/>
      <c r="E59" s="52">
        <v>0</v>
      </c>
      <c r="F59" s="449"/>
      <c r="G59" s="262"/>
      <c r="H59" s="275"/>
      <c r="I59" s="264" t="str">
        <f t="shared" si="14"/>
        <v/>
      </c>
      <c r="J59" s="265"/>
      <c r="K59" s="266" t="str">
        <f t="shared" si="15"/>
        <v/>
      </c>
      <c r="L59" s="266" t="str">
        <f t="shared" si="16"/>
        <v/>
      </c>
      <c r="M59" s="267"/>
      <c r="N59" s="268" t="str">
        <f t="shared" si="17"/>
        <v/>
      </c>
      <c r="O59" s="269" t="str">
        <f t="shared" si="18"/>
        <v/>
      </c>
      <c r="P59" s="270" t="str">
        <f t="shared" si="19"/>
        <v/>
      </c>
      <c r="Q59" s="292"/>
      <c r="R59" s="292"/>
      <c r="S59" s="292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</row>
    <row r="60" spans="1:42" s="239" customFormat="1" ht="18" customHeight="1" x14ac:dyDescent="0.15">
      <c r="A60" s="637"/>
      <c r="B60" s="51"/>
      <c r="C60" s="261"/>
      <c r="D60" s="240"/>
      <c r="E60" s="52">
        <v>0</v>
      </c>
      <c r="F60" s="449"/>
      <c r="G60" s="262"/>
      <c r="H60" s="275"/>
      <c r="I60" s="264" t="str">
        <f t="shared" si="14"/>
        <v/>
      </c>
      <c r="J60" s="265"/>
      <c r="K60" s="266" t="str">
        <f t="shared" si="15"/>
        <v/>
      </c>
      <c r="L60" s="266" t="str">
        <f t="shared" si="16"/>
        <v/>
      </c>
      <c r="M60" s="267"/>
      <c r="N60" s="268" t="str">
        <f t="shared" si="17"/>
        <v/>
      </c>
      <c r="O60" s="269" t="str">
        <f t="shared" si="18"/>
        <v/>
      </c>
      <c r="P60" s="407" t="str">
        <f t="shared" si="19"/>
        <v/>
      </c>
      <c r="Q60" s="292"/>
      <c r="R60" s="292"/>
      <c r="S60" s="292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</row>
    <row r="61" spans="1:42" s="239" customFormat="1" ht="18" customHeight="1" x14ac:dyDescent="0.15">
      <c r="A61" s="637"/>
      <c r="B61" s="51"/>
      <c r="C61" s="261"/>
      <c r="D61" s="240"/>
      <c r="E61" s="52"/>
      <c r="F61" s="449"/>
      <c r="G61" s="262"/>
      <c r="H61" s="275"/>
      <c r="I61" s="264" t="str">
        <f t="shared" si="14"/>
        <v/>
      </c>
      <c r="J61" s="265"/>
      <c r="K61" s="266" t="str">
        <f t="shared" si="15"/>
        <v/>
      </c>
      <c r="L61" s="266" t="str">
        <f t="shared" si="16"/>
        <v/>
      </c>
      <c r="M61" s="267"/>
      <c r="N61" s="268" t="str">
        <f t="shared" si="17"/>
        <v/>
      </c>
      <c r="O61" s="269"/>
      <c r="P61" s="407" t="str">
        <f t="shared" si="19"/>
        <v/>
      </c>
      <c r="Q61" s="292"/>
      <c r="R61" s="292"/>
      <c r="S61" s="292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</row>
    <row r="62" spans="1:42" s="278" customFormat="1" ht="22.5" customHeight="1" thickBot="1" x14ac:dyDescent="0.2">
      <c r="A62" s="638"/>
      <c r="B62" s="641" t="s">
        <v>388</v>
      </c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6"/>
      <c r="P62" s="276">
        <f>SUM(P50:P61)</f>
        <v>0</v>
      </c>
      <c r="Q62" s="292"/>
      <c r="R62" s="292"/>
      <c r="S62" s="292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</row>
    <row r="63" spans="1:42" s="239" customFormat="1" ht="18" customHeight="1" thickTop="1" thickBot="1" x14ac:dyDescent="0.2">
      <c r="A63" s="636">
        <f>'1. Facility'!B11</f>
        <v>4</v>
      </c>
      <c r="B63" s="49"/>
      <c r="C63" s="251" t="s">
        <v>84</v>
      </c>
      <c r="D63" s="252" t="s">
        <v>637</v>
      </c>
      <c r="E63" s="50">
        <v>0</v>
      </c>
      <c r="F63" s="454">
        <f>'4b. Stationary Comb. Factors'!$C$22/1000000</f>
        <v>1.026E-3</v>
      </c>
      <c r="G63" s="253" t="str">
        <f>IF(E63&gt;0, E63*F63, "")</f>
        <v/>
      </c>
      <c r="H63" s="254">
        <f>'4b. Stationary Comb. Factors'!$K$22</f>
        <v>116.99730000000001</v>
      </c>
      <c r="I63" s="255" t="str">
        <f t="shared" ref="I63:I74" si="21">IF(E63&gt;0, G63*H63/2000, "")</f>
        <v/>
      </c>
      <c r="J63" s="256">
        <f>'4b. Stationary Comb. Factors'!$K$32</f>
        <v>2.2045855379188711E-3</v>
      </c>
      <c r="K63" s="257" t="str">
        <f t="shared" ref="K63:K74" si="22">IF(E63&gt;0, G63*J63/2000, "")</f>
        <v/>
      </c>
      <c r="L63" s="257" t="str">
        <f t="shared" ref="L63:L74" si="23">IF(E63&gt;0, $I$9*K63,"")</f>
        <v/>
      </c>
      <c r="M63" s="258">
        <f>'4b. Stationary Comb. Factors'!$K$43</f>
        <v>2.2045855379188711E-4</v>
      </c>
      <c r="N63" s="259" t="str">
        <f t="shared" ref="N63:N74" si="24">IF(E63&gt;0, M63*G63/2000,"")</f>
        <v/>
      </c>
      <c r="O63" s="260" t="str">
        <f t="shared" ref="O63:O73" si="25">IF(E63&gt;0, $I$10*N63, "")</f>
        <v/>
      </c>
      <c r="P63" s="406" t="str">
        <f t="shared" ref="P63:P74" si="26">IF(E63&gt;0, I63+L63+O63, "")</f>
        <v/>
      </c>
      <c r="Q63" s="291"/>
      <c r="R63" s="291"/>
      <c r="S63" s="291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</row>
    <row r="64" spans="1:42" s="239" customFormat="1" ht="18" customHeight="1" thickTop="1" thickBot="1" x14ac:dyDescent="0.2">
      <c r="A64" s="637"/>
      <c r="B64" s="51"/>
      <c r="C64" s="261" t="s">
        <v>84</v>
      </c>
      <c r="D64" s="240" t="s">
        <v>637</v>
      </c>
      <c r="E64" s="52">
        <v>0</v>
      </c>
      <c r="F64" s="454">
        <f>'4b. Stationary Comb. Factors'!$C$22/1000000</f>
        <v>1.026E-3</v>
      </c>
      <c r="G64" s="262" t="str">
        <f>IF(E64&gt;0, E64*F64, "")</f>
        <v/>
      </c>
      <c r="H64" s="263">
        <f>'4b. Stationary Comb. Factors'!$K$22</f>
        <v>116.99730000000001</v>
      </c>
      <c r="I64" s="264" t="str">
        <f t="shared" si="21"/>
        <v/>
      </c>
      <c r="J64" s="265">
        <f>'4b. Stationary Comb. Factors'!$K$32</f>
        <v>2.2045855379188711E-3</v>
      </c>
      <c r="K64" s="266" t="str">
        <f t="shared" si="22"/>
        <v/>
      </c>
      <c r="L64" s="266" t="str">
        <f t="shared" si="23"/>
        <v/>
      </c>
      <c r="M64" s="267">
        <f>'4b. Stationary Comb. Factors'!$K$43</f>
        <v>2.2045855379188711E-4</v>
      </c>
      <c r="N64" s="268" t="str">
        <f t="shared" si="24"/>
        <v/>
      </c>
      <c r="O64" s="269" t="str">
        <f t="shared" si="25"/>
        <v/>
      </c>
      <c r="P64" s="135" t="str">
        <f t="shared" si="26"/>
        <v/>
      </c>
      <c r="Q64" s="292"/>
      <c r="R64" s="292"/>
      <c r="S64" s="292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</row>
    <row r="65" spans="1:42" s="239" customFormat="1" ht="18" customHeight="1" thickTop="1" x14ac:dyDescent="0.15">
      <c r="A65" s="637"/>
      <c r="B65" s="51"/>
      <c r="C65" s="261" t="s">
        <v>84</v>
      </c>
      <c r="D65" s="240" t="s">
        <v>638</v>
      </c>
      <c r="E65" s="52">
        <v>0</v>
      </c>
      <c r="F65" s="454">
        <f>'4b. Stationary Comb. Factors'!$C$22/1000000</f>
        <v>1.026E-3</v>
      </c>
      <c r="G65" s="262" t="str">
        <f t="shared" ref="G65:G71" si="27">IF(E65&gt;0, E65*F65, "")</f>
        <v/>
      </c>
      <c r="H65" s="271">
        <f>'4b. Stationary Comb. Factors'!$K$22</f>
        <v>116.99730000000001</v>
      </c>
      <c r="I65" s="264" t="str">
        <f t="shared" si="21"/>
        <v/>
      </c>
      <c r="J65" s="265">
        <f>'4b. Stationary Comb. Factors'!$K$32</f>
        <v>2.2045855379188711E-3</v>
      </c>
      <c r="K65" s="266" t="str">
        <f t="shared" si="22"/>
        <v/>
      </c>
      <c r="L65" s="266" t="str">
        <f t="shared" si="23"/>
        <v/>
      </c>
      <c r="M65" s="267">
        <f>'4b. Stationary Comb. Factors'!$K$43</f>
        <v>2.2045855379188711E-4</v>
      </c>
      <c r="N65" s="268" t="str">
        <f t="shared" si="24"/>
        <v/>
      </c>
      <c r="O65" s="269" t="str">
        <f t="shared" si="25"/>
        <v/>
      </c>
      <c r="P65" s="270" t="str">
        <f t="shared" si="26"/>
        <v/>
      </c>
      <c r="Q65" s="292"/>
      <c r="R65" s="292"/>
      <c r="S65" s="292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</row>
    <row r="66" spans="1:42" s="239" customFormat="1" ht="18" customHeight="1" x14ac:dyDescent="0.15">
      <c r="A66" s="637"/>
      <c r="B66" s="51"/>
      <c r="C66" s="261" t="s">
        <v>51</v>
      </c>
      <c r="D66" s="240" t="s">
        <v>638</v>
      </c>
      <c r="E66" s="52">
        <v>0</v>
      </c>
      <c r="F66" s="455">
        <f>'4b. Stationary Comb. Factors'!$C$17/42</f>
        <v>9.1047619047619044E-2</v>
      </c>
      <c r="G66" s="262" t="str">
        <f t="shared" si="27"/>
        <v/>
      </c>
      <c r="H66" s="272">
        <f>'4b. Stationary Comb. Factors'!$K$17</f>
        <v>138.62835000000001</v>
      </c>
      <c r="I66" s="264" t="str">
        <f t="shared" si="21"/>
        <v/>
      </c>
      <c r="J66" s="265">
        <f>'4b. Stationary Comb. Factors'!$K$32</f>
        <v>2.2045855379188711E-3</v>
      </c>
      <c r="K66" s="266" t="str">
        <f t="shared" si="22"/>
        <v/>
      </c>
      <c r="L66" s="266" t="str">
        <f t="shared" si="23"/>
        <v/>
      </c>
      <c r="M66" s="267">
        <f>'4b. Stationary Comb. Factors'!$K$43</f>
        <v>2.2045855379188711E-4</v>
      </c>
      <c r="N66" s="268" t="str">
        <f t="shared" si="24"/>
        <v/>
      </c>
      <c r="O66" s="269" t="str">
        <f t="shared" si="25"/>
        <v/>
      </c>
      <c r="P66" s="270" t="str">
        <f t="shared" si="26"/>
        <v/>
      </c>
      <c r="Q66" s="292"/>
      <c r="R66" s="292"/>
      <c r="S66" s="292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</row>
    <row r="67" spans="1:42" s="239" customFormat="1" ht="18" customHeight="1" x14ac:dyDescent="0.15">
      <c r="A67" s="637"/>
      <c r="B67" s="51"/>
      <c r="C67" s="261" t="s">
        <v>51</v>
      </c>
      <c r="D67" s="240" t="s">
        <v>638</v>
      </c>
      <c r="E67" s="52">
        <v>0</v>
      </c>
      <c r="F67" s="455">
        <f>'4b. Stationary Comb. Factors'!$C$17/42</f>
        <v>9.1047619047619044E-2</v>
      </c>
      <c r="G67" s="262" t="str">
        <f t="shared" si="27"/>
        <v/>
      </c>
      <c r="H67" s="272">
        <f>'4b. Stationary Comb. Factors'!$K$17</f>
        <v>138.62835000000001</v>
      </c>
      <c r="I67" s="264" t="str">
        <f t="shared" si="21"/>
        <v/>
      </c>
      <c r="J67" s="273">
        <f>'4b. Stationary Comb. Factors'!$K$32</f>
        <v>2.2045855379188711E-3</v>
      </c>
      <c r="K67" s="266" t="str">
        <f t="shared" si="22"/>
        <v/>
      </c>
      <c r="L67" s="266" t="str">
        <f t="shared" si="23"/>
        <v/>
      </c>
      <c r="M67" s="274">
        <f>'4b. Stationary Comb. Factors'!$K$43</f>
        <v>2.2045855379188711E-4</v>
      </c>
      <c r="N67" s="268" t="str">
        <f t="shared" si="24"/>
        <v/>
      </c>
      <c r="O67" s="269" t="str">
        <f t="shared" si="25"/>
        <v/>
      </c>
      <c r="P67" s="270" t="str">
        <f t="shared" si="26"/>
        <v/>
      </c>
      <c r="Q67" s="292"/>
      <c r="R67" s="292"/>
      <c r="S67" s="292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</row>
    <row r="68" spans="1:42" s="239" customFormat="1" ht="18" customHeight="1" x14ac:dyDescent="0.15">
      <c r="A68" s="637"/>
      <c r="B68" s="51"/>
      <c r="C68" s="261" t="s">
        <v>489</v>
      </c>
      <c r="D68" s="240" t="s">
        <v>638</v>
      </c>
      <c r="E68" s="52">
        <v>0</v>
      </c>
      <c r="F68" s="455">
        <f>'4b. Stationary Comb. Factors'!$C$14/42</f>
        <v>0.1386904761904762</v>
      </c>
      <c r="G68" s="262" t="str">
        <f t="shared" si="27"/>
        <v/>
      </c>
      <c r="H68" s="272">
        <f>'4b. Stationary Comb. Factors'!$K$14</f>
        <v>163.08179999999999</v>
      </c>
      <c r="I68" s="264" t="str">
        <f t="shared" si="21"/>
        <v/>
      </c>
      <c r="J68" s="265">
        <f>'4b. Stationary Comb. Factors'!$K$30</f>
        <v>6.6137566137566134E-3</v>
      </c>
      <c r="K68" s="266" t="str">
        <f t="shared" si="22"/>
        <v/>
      </c>
      <c r="L68" s="266" t="str">
        <f t="shared" si="23"/>
        <v/>
      </c>
      <c r="M68" s="267">
        <f>'4b. Stationary Comb. Factors'!$K$41</f>
        <v>1.3227513227513227E-3</v>
      </c>
      <c r="N68" s="268" t="str">
        <f t="shared" si="24"/>
        <v/>
      </c>
      <c r="O68" s="269" t="str">
        <f t="shared" si="25"/>
        <v/>
      </c>
      <c r="P68" s="270" t="str">
        <f t="shared" si="26"/>
        <v/>
      </c>
      <c r="Q68" s="292"/>
      <c r="R68" s="292"/>
      <c r="S68" s="292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</row>
    <row r="69" spans="1:42" s="239" customFormat="1" ht="18" customHeight="1" x14ac:dyDescent="0.15">
      <c r="A69" s="637"/>
      <c r="B69" s="51"/>
      <c r="C69" s="261" t="s">
        <v>489</v>
      </c>
      <c r="D69" s="240" t="s">
        <v>638</v>
      </c>
      <c r="E69" s="52">
        <v>0</v>
      </c>
      <c r="F69" s="455">
        <f>'4b. Stationary Comb. Factors'!$C$14/42</f>
        <v>0.1386904761904762</v>
      </c>
      <c r="G69" s="262" t="str">
        <f t="shared" si="27"/>
        <v/>
      </c>
      <c r="H69" s="272">
        <f>'4b. Stationary Comb. Factors'!$K$14</f>
        <v>163.08179999999999</v>
      </c>
      <c r="I69" s="264" t="str">
        <f t="shared" si="21"/>
        <v/>
      </c>
      <c r="J69" s="265">
        <f>'4b. Stationary Comb. Factors'!$K$30</f>
        <v>6.6137566137566134E-3</v>
      </c>
      <c r="K69" s="266" t="str">
        <f t="shared" si="22"/>
        <v/>
      </c>
      <c r="L69" s="266" t="str">
        <f t="shared" si="23"/>
        <v/>
      </c>
      <c r="M69" s="267">
        <f>'4b. Stationary Comb. Factors'!$K$41</f>
        <v>1.3227513227513227E-3</v>
      </c>
      <c r="N69" s="268" t="str">
        <f t="shared" si="24"/>
        <v/>
      </c>
      <c r="O69" s="269" t="str">
        <f t="shared" si="25"/>
        <v/>
      </c>
      <c r="P69" s="270" t="str">
        <f t="shared" si="26"/>
        <v/>
      </c>
      <c r="Q69" s="292"/>
      <c r="R69" s="292"/>
      <c r="S69" s="292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</row>
    <row r="70" spans="1:42" s="239" customFormat="1" ht="18" customHeight="1" x14ac:dyDescent="0.15">
      <c r="A70" s="637"/>
      <c r="B70" s="51"/>
      <c r="C70" s="261" t="s">
        <v>52</v>
      </c>
      <c r="D70" s="240" t="s">
        <v>638</v>
      </c>
      <c r="E70" s="52">
        <v>0</v>
      </c>
      <c r="F70" s="455">
        <f>'4b. Stationary Comb. Factors'!$C$13/42</f>
        <v>0.14969047619047618</v>
      </c>
      <c r="G70" s="262" t="str">
        <f t="shared" si="27"/>
        <v/>
      </c>
      <c r="H70" s="272">
        <f>'4b. Stationary Comb. Factors'!$K$13</f>
        <v>165.59549999999999</v>
      </c>
      <c r="I70" s="264" t="str">
        <f t="shared" si="21"/>
        <v/>
      </c>
      <c r="J70" s="265">
        <f>'4b. Stationary Comb. Factors'!$K$30</f>
        <v>6.6137566137566134E-3</v>
      </c>
      <c r="K70" s="266" t="str">
        <f t="shared" si="22"/>
        <v/>
      </c>
      <c r="L70" s="266" t="str">
        <f t="shared" si="23"/>
        <v/>
      </c>
      <c r="M70" s="267">
        <f>'4b. Stationary Comb. Factors'!$K$41</f>
        <v>1.3227513227513227E-3</v>
      </c>
      <c r="N70" s="268" t="str">
        <f t="shared" si="24"/>
        <v/>
      </c>
      <c r="O70" s="269" t="str">
        <f t="shared" si="25"/>
        <v/>
      </c>
      <c r="P70" s="270" t="str">
        <f t="shared" si="26"/>
        <v/>
      </c>
      <c r="Q70" s="292"/>
      <c r="R70" s="292"/>
      <c r="S70" s="292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</row>
    <row r="71" spans="1:42" s="239" customFormat="1" ht="18" customHeight="1" x14ac:dyDescent="0.15">
      <c r="A71" s="637"/>
      <c r="B71" s="51"/>
      <c r="C71" s="261" t="s">
        <v>52</v>
      </c>
      <c r="D71" s="240" t="s">
        <v>638</v>
      </c>
      <c r="E71" s="52">
        <v>0</v>
      </c>
      <c r="F71" s="455">
        <f>'4b. Stationary Comb. Factors'!$C$13/42</f>
        <v>0.14969047619047618</v>
      </c>
      <c r="G71" s="262" t="str">
        <f t="shared" si="27"/>
        <v/>
      </c>
      <c r="H71" s="272">
        <f>78.8*2.2</f>
        <v>173.36</v>
      </c>
      <c r="I71" s="264" t="str">
        <f t="shared" si="21"/>
        <v/>
      </c>
      <c r="J71" s="265">
        <f>'4b. Stationary Comb. Factors'!$K$30</f>
        <v>6.6137566137566134E-3</v>
      </c>
      <c r="K71" s="266" t="str">
        <f t="shared" si="22"/>
        <v/>
      </c>
      <c r="L71" s="266" t="str">
        <f t="shared" si="23"/>
        <v/>
      </c>
      <c r="M71" s="267">
        <f>'4b. Stationary Comb. Factors'!$K$41</f>
        <v>1.3227513227513227E-3</v>
      </c>
      <c r="N71" s="268" t="str">
        <f t="shared" si="24"/>
        <v/>
      </c>
      <c r="O71" s="269" t="str">
        <f t="shared" si="25"/>
        <v/>
      </c>
      <c r="P71" s="270" t="str">
        <f t="shared" si="26"/>
        <v/>
      </c>
      <c r="Q71" s="292"/>
      <c r="R71" s="292"/>
      <c r="S71" s="292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</row>
    <row r="72" spans="1:42" s="239" customFormat="1" ht="18" customHeight="1" x14ac:dyDescent="0.15">
      <c r="A72" s="637"/>
      <c r="B72" s="51"/>
      <c r="C72" s="261"/>
      <c r="D72" s="240"/>
      <c r="E72" s="52">
        <v>0</v>
      </c>
      <c r="F72" s="449"/>
      <c r="G72" s="262"/>
      <c r="H72" s="275"/>
      <c r="I72" s="264" t="str">
        <f t="shared" si="21"/>
        <v/>
      </c>
      <c r="J72" s="265"/>
      <c r="K72" s="266" t="str">
        <f t="shared" si="22"/>
        <v/>
      </c>
      <c r="L72" s="266" t="str">
        <f t="shared" si="23"/>
        <v/>
      </c>
      <c r="M72" s="267"/>
      <c r="N72" s="268" t="str">
        <f t="shared" si="24"/>
        <v/>
      </c>
      <c r="O72" s="269" t="str">
        <f t="shared" si="25"/>
        <v/>
      </c>
      <c r="P72" s="270" t="str">
        <f t="shared" si="26"/>
        <v/>
      </c>
      <c r="Q72" s="292"/>
      <c r="R72" s="292"/>
      <c r="S72" s="292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</row>
    <row r="73" spans="1:42" s="239" customFormat="1" ht="18" customHeight="1" x14ac:dyDescent="0.15">
      <c r="A73" s="637"/>
      <c r="B73" s="51"/>
      <c r="C73" s="261"/>
      <c r="D73" s="240"/>
      <c r="E73" s="52">
        <v>0</v>
      </c>
      <c r="F73" s="449"/>
      <c r="G73" s="262"/>
      <c r="H73" s="275"/>
      <c r="I73" s="264" t="str">
        <f t="shared" si="21"/>
        <v/>
      </c>
      <c r="J73" s="265"/>
      <c r="K73" s="266" t="str">
        <f t="shared" si="22"/>
        <v/>
      </c>
      <c r="L73" s="266" t="str">
        <f t="shared" si="23"/>
        <v/>
      </c>
      <c r="M73" s="267"/>
      <c r="N73" s="268" t="str">
        <f t="shared" si="24"/>
        <v/>
      </c>
      <c r="O73" s="269" t="str">
        <f t="shared" si="25"/>
        <v/>
      </c>
      <c r="P73" s="407" t="str">
        <f t="shared" si="26"/>
        <v/>
      </c>
      <c r="Q73" s="292"/>
      <c r="R73" s="292"/>
      <c r="S73" s="292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</row>
    <row r="74" spans="1:42" s="239" customFormat="1" ht="18" customHeight="1" x14ac:dyDescent="0.15">
      <c r="A74" s="637"/>
      <c r="B74" s="51"/>
      <c r="C74" s="261"/>
      <c r="D74" s="240"/>
      <c r="E74" s="52"/>
      <c r="F74" s="449"/>
      <c r="G74" s="262"/>
      <c r="H74" s="275"/>
      <c r="I74" s="264" t="str">
        <f t="shared" si="21"/>
        <v/>
      </c>
      <c r="J74" s="265"/>
      <c r="K74" s="266" t="str">
        <f t="shared" si="22"/>
        <v/>
      </c>
      <c r="L74" s="266" t="str">
        <f t="shared" si="23"/>
        <v/>
      </c>
      <c r="M74" s="267"/>
      <c r="N74" s="268" t="str">
        <f t="shared" si="24"/>
        <v/>
      </c>
      <c r="O74" s="269"/>
      <c r="P74" s="407" t="str">
        <f t="shared" si="26"/>
        <v/>
      </c>
      <c r="Q74" s="292"/>
      <c r="R74" s="292"/>
      <c r="S74" s="292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</row>
    <row r="75" spans="1:42" s="278" customFormat="1" ht="22.5" customHeight="1" thickBot="1" x14ac:dyDescent="0.2">
      <c r="A75" s="638"/>
      <c r="B75" s="641" t="s">
        <v>388</v>
      </c>
      <c r="C75" s="645"/>
      <c r="D75" s="645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6"/>
      <c r="P75" s="276">
        <f>SUM(P63:P74)</f>
        <v>0</v>
      </c>
      <c r="Q75" s="292"/>
      <c r="R75" s="292"/>
      <c r="S75" s="292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</row>
    <row r="76" spans="1:42" s="239" customFormat="1" ht="18" customHeight="1" thickTop="1" thickBot="1" x14ac:dyDescent="0.2">
      <c r="A76" s="636">
        <f>'1. Facility'!B12</f>
        <v>5</v>
      </c>
      <c r="B76" s="49"/>
      <c r="C76" s="251" t="s">
        <v>84</v>
      </c>
      <c r="D76" s="252" t="s">
        <v>637</v>
      </c>
      <c r="E76" s="50"/>
      <c r="F76" s="454">
        <f>'4b. Stationary Comb. Factors'!$C$22/1000000</f>
        <v>1.026E-3</v>
      </c>
      <c r="G76" s="253" t="str">
        <f>IF(E76&gt;0, E76*F76, "")</f>
        <v/>
      </c>
      <c r="H76" s="254">
        <f>'4b. Stationary Comb. Factors'!$K$22</f>
        <v>116.99730000000001</v>
      </c>
      <c r="I76" s="255" t="str">
        <f t="shared" ref="I76:I87" si="28">IF(E76&gt;0, G76*H76/2000, "")</f>
        <v/>
      </c>
      <c r="J76" s="256">
        <f>'4b. Stationary Comb. Factors'!$K$32</f>
        <v>2.2045855379188711E-3</v>
      </c>
      <c r="K76" s="257" t="str">
        <f t="shared" ref="K76:K87" si="29">IF(E76&gt;0, G76*J76/2000, "")</f>
        <v/>
      </c>
      <c r="L76" s="257" t="str">
        <f t="shared" ref="L76:L87" si="30">IF(E76&gt;0, $I$9*K76,"")</f>
        <v/>
      </c>
      <c r="M76" s="258">
        <f>'4b. Stationary Comb. Factors'!$K$43</f>
        <v>2.2045855379188711E-4</v>
      </c>
      <c r="N76" s="259" t="str">
        <f t="shared" ref="N76:N87" si="31">IF(E76&gt;0, M76*G76/2000,"")</f>
        <v/>
      </c>
      <c r="O76" s="260" t="str">
        <f t="shared" ref="O76:O86" si="32">IF(E76&gt;0, $I$10*N76, "")</f>
        <v/>
      </c>
      <c r="P76" s="406" t="str">
        <f t="shared" ref="P76:P87" si="33">IF(E76&gt;0, I76+L76+O76, "")</f>
        <v/>
      </c>
      <c r="Q76" s="291"/>
      <c r="R76" s="291"/>
      <c r="S76" s="291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</row>
    <row r="77" spans="1:42" s="239" customFormat="1" ht="18" customHeight="1" thickTop="1" thickBot="1" x14ac:dyDescent="0.2">
      <c r="A77" s="637"/>
      <c r="B77" s="51"/>
      <c r="C77" s="261" t="s">
        <v>84</v>
      </c>
      <c r="D77" s="240" t="s">
        <v>637</v>
      </c>
      <c r="E77" s="52"/>
      <c r="F77" s="454">
        <f>'4b. Stationary Comb. Factors'!$C$22/1000000</f>
        <v>1.026E-3</v>
      </c>
      <c r="G77" s="262" t="str">
        <f>IF(E77&gt;0, E77*F77, "")</f>
        <v/>
      </c>
      <c r="H77" s="263">
        <f>'4b. Stationary Comb. Factors'!$K$22</f>
        <v>116.99730000000001</v>
      </c>
      <c r="I77" s="264" t="str">
        <f t="shared" si="28"/>
        <v/>
      </c>
      <c r="J77" s="265">
        <f>'4b. Stationary Comb. Factors'!$K$32</f>
        <v>2.2045855379188711E-3</v>
      </c>
      <c r="K77" s="266" t="str">
        <f t="shared" si="29"/>
        <v/>
      </c>
      <c r="L77" s="266" t="str">
        <f t="shared" si="30"/>
        <v/>
      </c>
      <c r="M77" s="267">
        <f>'4b. Stationary Comb. Factors'!$K$43</f>
        <v>2.2045855379188711E-4</v>
      </c>
      <c r="N77" s="268" t="str">
        <f t="shared" si="31"/>
        <v/>
      </c>
      <c r="O77" s="269" t="str">
        <f t="shared" si="32"/>
        <v/>
      </c>
      <c r="P77" s="135" t="str">
        <f t="shared" si="33"/>
        <v/>
      </c>
      <c r="Q77" s="292"/>
      <c r="R77" s="292"/>
      <c r="S77" s="292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</row>
    <row r="78" spans="1:42" s="239" customFormat="1" ht="18" customHeight="1" thickTop="1" x14ac:dyDescent="0.15">
      <c r="A78" s="637"/>
      <c r="B78" s="51"/>
      <c r="C78" s="261" t="s">
        <v>84</v>
      </c>
      <c r="D78" s="240" t="s">
        <v>638</v>
      </c>
      <c r="E78" s="52"/>
      <c r="F78" s="454">
        <f>'4b. Stationary Comb. Factors'!$C$22/1000000</f>
        <v>1.026E-3</v>
      </c>
      <c r="G78" s="262" t="str">
        <f t="shared" ref="G78:G84" si="34">IF(E78&gt;0, E78*F78, "")</f>
        <v/>
      </c>
      <c r="H78" s="271">
        <f>'4b. Stationary Comb. Factors'!$K$22</f>
        <v>116.99730000000001</v>
      </c>
      <c r="I78" s="264" t="str">
        <f t="shared" si="28"/>
        <v/>
      </c>
      <c r="J78" s="265">
        <f>'4b. Stationary Comb. Factors'!$K$32</f>
        <v>2.2045855379188711E-3</v>
      </c>
      <c r="K78" s="266" t="str">
        <f t="shared" si="29"/>
        <v/>
      </c>
      <c r="L78" s="266" t="str">
        <f t="shared" si="30"/>
        <v/>
      </c>
      <c r="M78" s="267">
        <f>'4b. Stationary Comb. Factors'!$K$43</f>
        <v>2.2045855379188711E-4</v>
      </c>
      <c r="N78" s="268" t="str">
        <f t="shared" si="31"/>
        <v/>
      </c>
      <c r="O78" s="269" t="str">
        <f t="shared" si="32"/>
        <v/>
      </c>
      <c r="P78" s="270" t="str">
        <f t="shared" si="33"/>
        <v/>
      </c>
      <c r="Q78" s="292"/>
      <c r="R78" s="292"/>
      <c r="S78" s="292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</row>
    <row r="79" spans="1:42" s="239" customFormat="1" ht="18" customHeight="1" x14ac:dyDescent="0.15">
      <c r="A79" s="637"/>
      <c r="B79" s="51"/>
      <c r="C79" s="261" t="s">
        <v>51</v>
      </c>
      <c r="D79" s="240" t="s">
        <v>638</v>
      </c>
      <c r="E79" s="52"/>
      <c r="F79" s="455">
        <f>'4b. Stationary Comb. Factors'!$C$17/42</f>
        <v>9.1047619047619044E-2</v>
      </c>
      <c r="G79" s="262" t="str">
        <f t="shared" si="34"/>
        <v/>
      </c>
      <c r="H79" s="272">
        <f>'4b. Stationary Comb. Factors'!$K$17</f>
        <v>138.62835000000001</v>
      </c>
      <c r="I79" s="264" t="str">
        <f t="shared" si="28"/>
        <v/>
      </c>
      <c r="J79" s="265">
        <f>'4b. Stationary Comb. Factors'!$K$32</f>
        <v>2.2045855379188711E-3</v>
      </c>
      <c r="K79" s="266" t="str">
        <f t="shared" si="29"/>
        <v/>
      </c>
      <c r="L79" s="266" t="str">
        <f t="shared" si="30"/>
        <v/>
      </c>
      <c r="M79" s="267">
        <f>'4b. Stationary Comb. Factors'!$K$43</f>
        <v>2.2045855379188711E-4</v>
      </c>
      <c r="N79" s="268" t="str">
        <f t="shared" si="31"/>
        <v/>
      </c>
      <c r="O79" s="269" t="str">
        <f t="shared" si="32"/>
        <v/>
      </c>
      <c r="P79" s="270" t="str">
        <f t="shared" si="33"/>
        <v/>
      </c>
      <c r="Q79" s="292"/>
      <c r="R79" s="292"/>
      <c r="S79" s="292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</row>
    <row r="80" spans="1:42" s="239" customFormat="1" ht="18" customHeight="1" x14ac:dyDescent="0.15">
      <c r="A80" s="637"/>
      <c r="B80" s="51"/>
      <c r="C80" s="261" t="s">
        <v>51</v>
      </c>
      <c r="D80" s="240" t="s">
        <v>638</v>
      </c>
      <c r="E80" s="52"/>
      <c r="F80" s="455">
        <f>'4b. Stationary Comb. Factors'!$C$17/42</f>
        <v>9.1047619047619044E-2</v>
      </c>
      <c r="G80" s="262" t="str">
        <f t="shared" si="34"/>
        <v/>
      </c>
      <c r="H80" s="272">
        <f>'4b. Stationary Comb. Factors'!$K$17</f>
        <v>138.62835000000001</v>
      </c>
      <c r="I80" s="264" t="str">
        <f t="shared" si="28"/>
        <v/>
      </c>
      <c r="J80" s="273">
        <f>'4b. Stationary Comb. Factors'!$K$32</f>
        <v>2.2045855379188711E-3</v>
      </c>
      <c r="K80" s="266" t="str">
        <f t="shared" si="29"/>
        <v/>
      </c>
      <c r="L80" s="266" t="str">
        <f t="shared" si="30"/>
        <v/>
      </c>
      <c r="M80" s="274">
        <f>'4b. Stationary Comb. Factors'!$K$43</f>
        <v>2.2045855379188711E-4</v>
      </c>
      <c r="N80" s="268" t="str">
        <f t="shared" si="31"/>
        <v/>
      </c>
      <c r="O80" s="269" t="str">
        <f t="shared" si="32"/>
        <v/>
      </c>
      <c r="P80" s="270" t="str">
        <f t="shared" si="33"/>
        <v/>
      </c>
      <c r="Q80" s="292"/>
      <c r="R80" s="292"/>
      <c r="S80" s="292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</row>
    <row r="81" spans="1:42" s="239" customFormat="1" ht="18" customHeight="1" x14ac:dyDescent="0.15">
      <c r="A81" s="637"/>
      <c r="B81" s="51"/>
      <c r="C81" s="261" t="s">
        <v>489</v>
      </c>
      <c r="D81" s="240" t="s">
        <v>638</v>
      </c>
      <c r="E81" s="52"/>
      <c r="F81" s="455">
        <f>'4b. Stationary Comb. Factors'!$C$14/42</f>
        <v>0.1386904761904762</v>
      </c>
      <c r="G81" s="262" t="str">
        <f t="shared" si="34"/>
        <v/>
      </c>
      <c r="H81" s="272">
        <f>'4b. Stationary Comb. Factors'!$K$14</f>
        <v>163.08179999999999</v>
      </c>
      <c r="I81" s="264" t="str">
        <f t="shared" si="28"/>
        <v/>
      </c>
      <c r="J81" s="265">
        <f>'4b. Stationary Comb. Factors'!$K$30</f>
        <v>6.6137566137566134E-3</v>
      </c>
      <c r="K81" s="266" t="str">
        <f t="shared" si="29"/>
        <v/>
      </c>
      <c r="L81" s="266" t="str">
        <f t="shared" si="30"/>
        <v/>
      </c>
      <c r="M81" s="267">
        <f>'4b. Stationary Comb. Factors'!$K$41</f>
        <v>1.3227513227513227E-3</v>
      </c>
      <c r="N81" s="268" t="str">
        <f t="shared" si="31"/>
        <v/>
      </c>
      <c r="O81" s="269" t="str">
        <f t="shared" si="32"/>
        <v/>
      </c>
      <c r="P81" s="270" t="str">
        <f t="shared" si="33"/>
        <v/>
      </c>
      <c r="Q81" s="292"/>
      <c r="R81" s="292"/>
      <c r="S81" s="292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</row>
    <row r="82" spans="1:42" s="239" customFormat="1" ht="18" customHeight="1" x14ac:dyDescent="0.15">
      <c r="A82" s="637"/>
      <c r="B82" s="51"/>
      <c r="C82" s="261" t="s">
        <v>489</v>
      </c>
      <c r="D82" s="240" t="s">
        <v>638</v>
      </c>
      <c r="E82" s="52"/>
      <c r="F82" s="455">
        <f>'4b. Stationary Comb. Factors'!$C$14/42</f>
        <v>0.1386904761904762</v>
      </c>
      <c r="G82" s="262" t="str">
        <f t="shared" si="34"/>
        <v/>
      </c>
      <c r="H82" s="272">
        <f>'4b. Stationary Comb. Factors'!$K$14</f>
        <v>163.08179999999999</v>
      </c>
      <c r="I82" s="264" t="str">
        <f t="shared" si="28"/>
        <v/>
      </c>
      <c r="J82" s="265">
        <f>'4b. Stationary Comb. Factors'!$K$30</f>
        <v>6.6137566137566134E-3</v>
      </c>
      <c r="K82" s="266" t="str">
        <f t="shared" si="29"/>
        <v/>
      </c>
      <c r="L82" s="266" t="str">
        <f t="shared" si="30"/>
        <v/>
      </c>
      <c r="M82" s="267">
        <f>'4b. Stationary Comb. Factors'!$K$41</f>
        <v>1.3227513227513227E-3</v>
      </c>
      <c r="N82" s="268" t="str">
        <f t="shared" si="31"/>
        <v/>
      </c>
      <c r="O82" s="269" t="str">
        <f t="shared" si="32"/>
        <v/>
      </c>
      <c r="P82" s="270" t="str">
        <f t="shared" si="33"/>
        <v/>
      </c>
      <c r="Q82" s="292"/>
      <c r="R82" s="292"/>
      <c r="S82" s="292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</row>
    <row r="83" spans="1:42" s="239" customFormat="1" ht="18" customHeight="1" x14ac:dyDescent="0.15">
      <c r="A83" s="637"/>
      <c r="B83" s="51"/>
      <c r="C83" s="261" t="s">
        <v>52</v>
      </c>
      <c r="D83" s="240" t="s">
        <v>638</v>
      </c>
      <c r="E83" s="52"/>
      <c r="F83" s="455">
        <f>'4b. Stationary Comb. Factors'!$C$13/42</f>
        <v>0.14969047619047618</v>
      </c>
      <c r="G83" s="262" t="str">
        <f t="shared" si="34"/>
        <v/>
      </c>
      <c r="H83" s="272">
        <f>'4b. Stationary Comb. Factors'!$K$13</f>
        <v>165.59549999999999</v>
      </c>
      <c r="I83" s="264" t="str">
        <f t="shared" si="28"/>
        <v/>
      </c>
      <c r="J83" s="265">
        <f>'4b. Stationary Comb. Factors'!$K$30</f>
        <v>6.6137566137566134E-3</v>
      </c>
      <c r="K83" s="266" t="str">
        <f t="shared" si="29"/>
        <v/>
      </c>
      <c r="L83" s="266" t="str">
        <f t="shared" si="30"/>
        <v/>
      </c>
      <c r="M83" s="267">
        <f>'4b. Stationary Comb. Factors'!$K$41</f>
        <v>1.3227513227513227E-3</v>
      </c>
      <c r="N83" s="268" t="str">
        <f t="shared" si="31"/>
        <v/>
      </c>
      <c r="O83" s="269" t="str">
        <f t="shared" si="32"/>
        <v/>
      </c>
      <c r="P83" s="270" t="str">
        <f t="shared" si="33"/>
        <v/>
      </c>
      <c r="Q83" s="292"/>
      <c r="R83" s="292"/>
      <c r="S83" s="292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</row>
    <row r="84" spans="1:42" s="239" customFormat="1" ht="18" customHeight="1" x14ac:dyDescent="0.15">
      <c r="A84" s="637"/>
      <c r="B84" s="51"/>
      <c r="C84" s="261" t="s">
        <v>52</v>
      </c>
      <c r="D84" s="240" t="s">
        <v>638</v>
      </c>
      <c r="E84" s="52"/>
      <c r="F84" s="455">
        <f>'4b. Stationary Comb. Factors'!$C$13/42</f>
        <v>0.14969047619047618</v>
      </c>
      <c r="G84" s="262" t="str">
        <f t="shared" si="34"/>
        <v/>
      </c>
      <c r="H84" s="272">
        <f>78.8*2.2</f>
        <v>173.36</v>
      </c>
      <c r="I84" s="264" t="str">
        <f t="shared" si="28"/>
        <v/>
      </c>
      <c r="J84" s="265">
        <f>'4b. Stationary Comb. Factors'!$K$30</f>
        <v>6.6137566137566134E-3</v>
      </c>
      <c r="K84" s="266" t="str">
        <f t="shared" si="29"/>
        <v/>
      </c>
      <c r="L84" s="266" t="str">
        <f t="shared" si="30"/>
        <v/>
      </c>
      <c r="M84" s="267">
        <f>'4b. Stationary Comb. Factors'!$K$41</f>
        <v>1.3227513227513227E-3</v>
      </c>
      <c r="N84" s="268" t="str">
        <f t="shared" si="31"/>
        <v/>
      </c>
      <c r="O84" s="269" t="str">
        <f t="shared" si="32"/>
        <v/>
      </c>
      <c r="P84" s="270" t="str">
        <f t="shared" si="33"/>
        <v/>
      </c>
      <c r="Q84" s="292"/>
      <c r="R84" s="292"/>
      <c r="S84" s="292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</row>
    <row r="85" spans="1:42" s="239" customFormat="1" ht="18" customHeight="1" x14ac:dyDescent="0.15">
      <c r="A85" s="637"/>
      <c r="B85" s="51"/>
      <c r="C85" s="261"/>
      <c r="D85" s="240"/>
      <c r="E85" s="52"/>
      <c r="F85" s="449"/>
      <c r="G85" s="262"/>
      <c r="H85" s="275"/>
      <c r="I85" s="264" t="str">
        <f t="shared" si="28"/>
        <v/>
      </c>
      <c r="J85" s="265"/>
      <c r="K85" s="266" t="str">
        <f t="shared" si="29"/>
        <v/>
      </c>
      <c r="L85" s="266" t="str">
        <f t="shared" si="30"/>
        <v/>
      </c>
      <c r="M85" s="267"/>
      <c r="N85" s="268" t="str">
        <f t="shared" si="31"/>
        <v/>
      </c>
      <c r="O85" s="269" t="str">
        <f t="shared" si="32"/>
        <v/>
      </c>
      <c r="P85" s="270" t="str">
        <f t="shared" si="33"/>
        <v/>
      </c>
      <c r="Q85" s="292"/>
      <c r="R85" s="292"/>
      <c r="S85" s="292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</row>
    <row r="86" spans="1:42" s="239" customFormat="1" ht="18" customHeight="1" x14ac:dyDescent="0.15">
      <c r="A86" s="637"/>
      <c r="B86" s="51"/>
      <c r="C86" s="261"/>
      <c r="D86" s="240"/>
      <c r="E86" s="52"/>
      <c r="F86" s="449"/>
      <c r="G86" s="262"/>
      <c r="H86" s="275"/>
      <c r="I86" s="264" t="str">
        <f t="shared" si="28"/>
        <v/>
      </c>
      <c r="J86" s="265"/>
      <c r="K86" s="266" t="str">
        <f t="shared" si="29"/>
        <v/>
      </c>
      <c r="L86" s="266" t="str">
        <f t="shared" si="30"/>
        <v/>
      </c>
      <c r="M86" s="267"/>
      <c r="N86" s="268" t="str">
        <f t="shared" si="31"/>
        <v/>
      </c>
      <c r="O86" s="269" t="str">
        <f t="shared" si="32"/>
        <v/>
      </c>
      <c r="P86" s="407" t="str">
        <f t="shared" si="33"/>
        <v/>
      </c>
      <c r="Q86" s="292"/>
      <c r="R86" s="292"/>
      <c r="S86" s="292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</row>
    <row r="87" spans="1:42" s="239" customFormat="1" ht="18" customHeight="1" x14ac:dyDescent="0.15">
      <c r="A87" s="637"/>
      <c r="B87" s="51"/>
      <c r="C87" s="261"/>
      <c r="D87" s="240"/>
      <c r="E87" s="52"/>
      <c r="F87" s="449"/>
      <c r="G87" s="262"/>
      <c r="H87" s="275"/>
      <c r="I87" s="264" t="str">
        <f t="shared" si="28"/>
        <v/>
      </c>
      <c r="J87" s="265"/>
      <c r="K87" s="266" t="str">
        <f t="shared" si="29"/>
        <v/>
      </c>
      <c r="L87" s="266" t="str">
        <f t="shared" si="30"/>
        <v/>
      </c>
      <c r="M87" s="267"/>
      <c r="N87" s="268" t="str">
        <f t="shared" si="31"/>
        <v/>
      </c>
      <c r="O87" s="269"/>
      <c r="P87" s="407" t="str">
        <f t="shared" si="33"/>
        <v/>
      </c>
      <c r="Q87" s="292"/>
      <c r="R87" s="292"/>
      <c r="S87" s="292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</row>
    <row r="88" spans="1:42" s="278" customFormat="1" ht="22.5" customHeight="1" thickBot="1" x14ac:dyDescent="0.2">
      <c r="A88" s="638"/>
      <c r="B88" s="641" t="s">
        <v>388</v>
      </c>
      <c r="C88" s="645"/>
      <c r="D88" s="645"/>
      <c r="E88" s="645"/>
      <c r="F88" s="645"/>
      <c r="G88" s="645"/>
      <c r="H88" s="645"/>
      <c r="I88" s="645"/>
      <c r="J88" s="645"/>
      <c r="K88" s="645"/>
      <c r="L88" s="645"/>
      <c r="M88" s="645"/>
      <c r="N88" s="645"/>
      <c r="O88" s="646"/>
      <c r="P88" s="276">
        <f>SUM(P76:P87)</f>
        <v>0</v>
      </c>
      <c r="Q88" s="292"/>
      <c r="R88" s="292"/>
      <c r="S88" s="292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</row>
    <row r="89" spans="1:42" s="239" customFormat="1" ht="18" customHeight="1" thickTop="1" thickBot="1" x14ac:dyDescent="0.2">
      <c r="A89" s="636">
        <f>'1. Facility'!B13</f>
        <v>6</v>
      </c>
      <c r="B89" s="49"/>
      <c r="C89" s="251" t="s">
        <v>84</v>
      </c>
      <c r="D89" s="252" t="s">
        <v>637</v>
      </c>
      <c r="E89" s="50"/>
      <c r="F89" s="454">
        <f>'4b. Stationary Comb. Factors'!$C$22/1000000</f>
        <v>1.026E-3</v>
      </c>
      <c r="G89" s="253" t="str">
        <f>IF(E89&gt;0, E89*F89, "")</f>
        <v/>
      </c>
      <c r="H89" s="254">
        <f>'4b. Stationary Comb. Factors'!$K$22</f>
        <v>116.99730000000001</v>
      </c>
      <c r="I89" s="255" t="str">
        <f t="shared" ref="I89:I100" si="35">IF(E89&gt;0, G89*H89/2000, "")</f>
        <v/>
      </c>
      <c r="J89" s="256">
        <f>'4b. Stationary Comb. Factors'!$K$32</f>
        <v>2.2045855379188711E-3</v>
      </c>
      <c r="K89" s="257" t="str">
        <f t="shared" ref="K89:K100" si="36">IF(E89&gt;0, G89*J89/2000, "")</f>
        <v/>
      </c>
      <c r="L89" s="257" t="str">
        <f t="shared" ref="L89:L100" si="37">IF(E89&gt;0, $I$9*K89,"")</f>
        <v/>
      </c>
      <c r="M89" s="258">
        <f>'4b. Stationary Comb. Factors'!$K$43</f>
        <v>2.2045855379188711E-4</v>
      </c>
      <c r="N89" s="259" t="str">
        <f t="shared" ref="N89:N100" si="38">IF(E89&gt;0, M89*G89/2000,"")</f>
        <v/>
      </c>
      <c r="O89" s="260" t="str">
        <f t="shared" ref="O89:O99" si="39">IF(E89&gt;0, $I$10*N89, "")</f>
        <v/>
      </c>
      <c r="P89" s="406" t="str">
        <f t="shared" ref="P89:P100" si="40">IF(E89&gt;0, I89+L89+O89, "")</f>
        <v/>
      </c>
      <c r="Q89" s="291"/>
      <c r="R89" s="291"/>
      <c r="S89" s="291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</row>
    <row r="90" spans="1:42" s="239" customFormat="1" ht="18" customHeight="1" thickTop="1" thickBot="1" x14ac:dyDescent="0.2">
      <c r="A90" s="637"/>
      <c r="B90" s="51"/>
      <c r="C90" s="261" t="s">
        <v>84</v>
      </c>
      <c r="D90" s="240" t="s">
        <v>637</v>
      </c>
      <c r="E90" s="52"/>
      <c r="F90" s="454">
        <f>'4b. Stationary Comb. Factors'!$C$22/1000000</f>
        <v>1.026E-3</v>
      </c>
      <c r="G90" s="262" t="str">
        <f>IF(E90&gt;0, E90*F90, "")</f>
        <v/>
      </c>
      <c r="H90" s="263">
        <f>'4b. Stationary Comb. Factors'!$K$22</f>
        <v>116.99730000000001</v>
      </c>
      <c r="I90" s="264" t="str">
        <f t="shared" si="35"/>
        <v/>
      </c>
      <c r="J90" s="265">
        <f>'4b. Stationary Comb. Factors'!$K$32</f>
        <v>2.2045855379188711E-3</v>
      </c>
      <c r="K90" s="266" t="str">
        <f t="shared" si="36"/>
        <v/>
      </c>
      <c r="L90" s="266" t="str">
        <f t="shared" si="37"/>
        <v/>
      </c>
      <c r="M90" s="267">
        <f>'4b. Stationary Comb. Factors'!$K$43</f>
        <v>2.2045855379188711E-4</v>
      </c>
      <c r="N90" s="268" t="str">
        <f t="shared" si="38"/>
        <v/>
      </c>
      <c r="O90" s="269" t="str">
        <f t="shared" si="39"/>
        <v/>
      </c>
      <c r="P90" s="135" t="str">
        <f t="shared" si="40"/>
        <v/>
      </c>
      <c r="Q90" s="292"/>
      <c r="R90" s="292"/>
      <c r="S90" s="292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</row>
    <row r="91" spans="1:42" s="239" customFormat="1" ht="18" customHeight="1" thickTop="1" x14ac:dyDescent="0.15">
      <c r="A91" s="637"/>
      <c r="B91" s="51"/>
      <c r="C91" s="261" t="s">
        <v>84</v>
      </c>
      <c r="D91" s="240" t="s">
        <v>638</v>
      </c>
      <c r="E91" s="52"/>
      <c r="F91" s="454">
        <f>'4b. Stationary Comb. Factors'!$C$22/1000000</f>
        <v>1.026E-3</v>
      </c>
      <c r="G91" s="262" t="str">
        <f t="shared" ref="G91:G97" si="41">IF(E91&gt;0, E91*F91, "")</f>
        <v/>
      </c>
      <c r="H91" s="271">
        <f>'4b. Stationary Comb. Factors'!$K$22</f>
        <v>116.99730000000001</v>
      </c>
      <c r="I91" s="264" t="str">
        <f t="shared" si="35"/>
        <v/>
      </c>
      <c r="J91" s="265">
        <f>'4b. Stationary Comb. Factors'!$K$32</f>
        <v>2.2045855379188711E-3</v>
      </c>
      <c r="K91" s="266" t="str">
        <f t="shared" si="36"/>
        <v/>
      </c>
      <c r="L91" s="266" t="str">
        <f t="shared" si="37"/>
        <v/>
      </c>
      <c r="M91" s="267">
        <f>'4b. Stationary Comb. Factors'!$K$43</f>
        <v>2.2045855379188711E-4</v>
      </c>
      <c r="N91" s="268" t="str">
        <f t="shared" si="38"/>
        <v/>
      </c>
      <c r="O91" s="269" t="str">
        <f t="shared" si="39"/>
        <v/>
      </c>
      <c r="P91" s="270" t="str">
        <f t="shared" si="40"/>
        <v/>
      </c>
      <c r="Q91" s="292"/>
      <c r="R91" s="292"/>
      <c r="S91" s="292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</row>
    <row r="92" spans="1:42" s="239" customFormat="1" ht="18" customHeight="1" x14ac:dyDescent="0.15">
      <c r="A92" s="637"/>
      <c r="B92" s="51"/>
      <c r="C92" s="261" t="s">
        <v>51</v>
      </c>
      <c r="D92" s="240" t="s">
        <v>638</v>
      </c>
      <c r="E92" s="52"/>
      <c r="F92" s="455">
        <f>'4b. Stationary Comb. Factors'!$C$17/42</f>
        <v>9.1047619047619044E-2</v>
      </c>
      <c r="G92" s="262" t="str">
        <f t="shared" si="41"/>
        <v/>
      </c>
      <c r="H92" s="272">
        <f>'4b. Stationary Comb. Factors'!$K$17</f>
        <v>138.62835000000001</v>
      </c>
      <c r="I92" s="264" t="str">
        <f t="shared" si="35"/>
        <v/>
      </c>
      <c r="J92" s="265">
        <f>'4b. Stationary Comb. Factors'!$K$32</f>
        <v>2.2045855379188711E-3</v>
      </c>
      <c r="K92" s="266" t="str">
        <f t="shared" si="36"/>
        <v/>
      </c>
      <c r="L92" s="266" t="str">
        <f t="shared" si="37"/>
        <v/>
      </c>
      <c r="M92" s="267">
        <f>'4b. Stationary Comb. Factors'!$K$43</f>
        <v>2.2045855379188711E-4</v>
      </c>
      <c r="N92" s="268" t="str">
        <f t="shared" si="38"/>
        <v/>
      </c>
      <c r="O92" s="269" t="str">
        <f t="shared" si="39"/>
        <v/>
      </c>
      <c r="P92" s="270" t="str">
        <f t="shared" si="40"/>
        <v/>
      </c>
      <c r="Q92" s="292"/>
      <c r="R92" s="292"/>
      <c r="S92" s="292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</row>
    <row r="93" spans="1:42" s="239" customFormat="1" ht="18" customHeight="1" x14ac:dyDescent="0.15">
      <c r="A93" s="637"/>
      <c r="B93" s="51"/>
      <c r="C93" s="261" t="s">
        <v>51</v>
      </c>
      <c r="D93" s="240" t="s">
        <v>638</v>
      </c>
      <c r="E93" s="52"/>
      <c r="F93" s="455">
        <f>'4b. Stationary Comb. Factors'!$C$17/42</f>
        <v>9.1047619047619044E-2</v>
      </c>
      <c r="G93" s="262" t="str">
        <f t="shared" si="41"/>
        <v/>
      </c>
      <c r="H93" s="272">
        <f>'4b. Stationary Comb. Factors'!$K$17</f>
        <v>138.62835000000001</v>
      </c>
      <c r="I93" s="264" t="str">
        <f t="shared" si="35"/>
        <v/>
      </c>
      <c r="J93" s="273">
        <f>'4b. Stationary Comb. Factors'!$K$32</f>
        <v>2.2045855379188711E-3</v>
      </c>
      <c r="K93" s="266" t="str">
        <f t="shared" si="36"/>
        <v/>
      </c>
      <c r="L93" s="266" t="str">
        <f t="shared" si="37"/>
        <v/>
      </c>
      <c r="M93" s="274">
        <f>'4b. Stationary Comb. Factors'!$K$43</f>
        <v>2.2045855379188711E-4</v>
      </c>
      <c r="N93" s="268" t="str">
        <f t="shared" si="38"/>
        <v/>
      </c>
      <c r="O93" s="269" t="str">
        <f t="shared" si="39"/>
        <v/>
      </c>
      <c r="P93" s="270" t="str">
        <f t="shared" si="40"/>
        <v/>
      </c>
      <c r="Q93" s="292"/>
      <c r="R93" s="292"/>
      <c r="S93" s="292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</row>
    <row r="94" spans="1:42" s="239" customFormat="1" ht="18" customHeight="1" x14ac:dyDescent="0.15">
      <c r="A94" s="637"/>
      <c r="B94" s="51"/>
      <c r="C94" s="261" t="s">
        <v>489</v>
      </c>
      <c r="D94" s="240" t="s">
        <v>638</v>
      </c>
      <c r="E94" s="52"/>
      <c r="F94" s="455">
        <f>'4b. Stationary Comb. Factors'!$C$14/42</f>
        <v>0.1386904761904762</v>
      </c>
      <c r="G94" s="262" t="str">
        <f t="shared" si="41"/>
        <v/>
      </c>
      <c r="H94" s="272">
        <f>'4b. Stationary Comb. Factors'!$K$14</f>
        <v>163.08179999999999</v>
      </c>
      <c r="I94" s="264" t="str">
        <f t="shared" si="35"/>
        <v/>
      </c>
      <c r="J94" s="265">
        <f>'4b. Stationary Comb. Factors'!$K$30</f>
        <v>6.6137566137566134E-3</v>
      </c>
      <c r="K94" s="266" t="str">
        <f t="shared" si="36"/>
        <v/>
      </c>
      <c r="L94" s="266" t="str">
        <f t="shared" si="37"/>
        <v/>
      </c>
      <c r="M94" s="267">
        <f>'4b. Stationary Comb. Factors'!$K$41</f>
        <v>1.3227513227513227E-3</v>
      </c>
      <c r="N94" s="268" t="str">
        <f t="shared" si="38"/>
        <v/>
      </c>
      <c r="O94" s="269" t="str">
        <f t="shared" si="39"/>
        <v/>
      </c>
      <c r="P94" s="270" t="str">
        <f t="shared" si="40"/>
        <v/>
      </c>
      <c r="Q94" s="292"/>
      <c r="R94" s="292"/>
      <c r="S94" s="292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</row>
    <row r="95" spans="1:42" s="239" customFormat="1" ht="18" customHeight="1" x14ac:dyDescent="0.15">
      <c r="A95" s="637"/>
      <c r="B95" s="51"/>
      <c r="C95" s="261" t="s">
        <v>489</v>
      </c>
      <c r="D95" s="240" t="s">
        <v>638</v>
      </c>
      <c r="E95" s="52"/>
      <c r="F95" s="455">
        <f>'4b. Stationary Comb. Factors'!$C$14/42</f>
        <v>0.1386904761904762</v>
      </c>
      <c r="G95" s="262" t="str">
        <f t="shared" si="41"/>
        <v/>
      </c>
      <c r="H95" s="272">
        <f>'4b. Stationary Comb. Factors'!$K$14</f>
        <v>163.08179999999999</v>
      </c>
      <c r="I95" s="264" t="str">
        <f t="shared" si="35"/>
        <v/>
      </c>
      <c r="J95" s="265">
        <f>'4b. Stationary Comb. Factors'!$K$30</f>
        <v>6.6137566137566134E-3</v>
      </c>
      <c r="K95" s="266" t="str">
        <f t="shared" si="36"/>
        <v/>
      </c>
      <c r="L95" s="266" t="str">
        <f t="shared" si="37"/>
        <v/>
      </c>
      <c r="M95" s="267">
        <f>'4b. Stationary Comb. Factors'!$K$41</f>
        <v>1.3227513227513227E-3</v>
      </c>
      <c r="N95" s="268" t="str">
        <f t="shared" si="38"/>
        <v/>
      </c>
      <c r="O95" s="269" t="str">
        <f t="shared" si="39"/>
        <v/>
      </c>
      <c r="P95" s="270" t="str">
        <f t="shared" si="40"/>
        <v/>
      </c>
      <c r="Q95" s="292"/>
      <c r="R95" s="292"/>
      <c r="S95" s="292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</row>
    <row r="96" spans="1:42" s="239" customFormat="1" ht="18" customHeight="1" x14ac:dyDescent="0.15">
      <c r="A96" s="637"/>
      <c r="B96" s="51"/>
      <c r="C96" s="261" t="s">
        <v>52</v>
      </c>
      <c r="D96" s="240" t="s">
        <v>638</v>
      </c>
      <c r="E96" s="52"/>
      <c r="F96" s="455">
        <f>'4b. Stationary Comb. Factors'!$C$13/42</f>
        <v>0.14969047619047618</v>
      </c>
      <c r="G96" s="262" t="str">
        <f t="shared" si="41"/>
        <v/>
      </c>
      <c r="H96" s="272">
        <f>'4b. Stationary Comb. Factors'!$K$13</f>
        <v>165.59549999999999</v>
      </c>
      <c r="I96" s="264" t="str">
        <f t="shared" si="35"/>
        <v/>
      </c>
      <c r="J96" s="265">
        <f>'4b. Stationary Comb. Factors'!$K$30</f>
        <v>6.6137566137566134E-3</v>
      </c>
      <c r="K96" s="266" t="str">
        <f t="shared" si="36"/>
        <v/>
      </c>
      <c r="L96" s="266" t="str">
        <f t="shared" si="37"/>
        <v/>
      </c>
      <c r="M96" s="267">
        <f>'4b. Stationary Comb. Factors'!$K$41</f>
        <v>1.3227513227513227E-3</v>
      </c>
      <c r="N96" s="268" t="str">
        <f t="shared" si="38"/>
        <v/>
      </c>
      <c r="O96" s="269" t="str">
        <f t="shared" si="39"/>
        <v/>
      </c>
      <c r="P96" s="270" t="str">
        <f t="shared" si="40"/>
        <v/>
      </c>
      <c r="Q96" s="292"/>
      <c r="R96" s="292"/>
      <c r="S96" s="292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</row>
    <row r="97" spans="1:42" s="239" customFormat="1" ht="18" customHeight="1" x14ac:dyDescent="0.15">
      <c r="A97" s="637"/>
      <c r="B97" s="51"/>
      <c r="C97" s="261" t="s">
        <v>52</v>
      </c>
      <c r="D97" s="240" t="s">
        <v>638</v>
      </c>
      <c r="E97" s="52"/>
      <c r="F97" s="455">
        <f>'4b. Stationary Comb. Factors'!$C$13/42</f>
        <v>0.14969047619047618</v>
      </c>
      <c r="G97" s="262" t="str">
        <f t="shared" si="41"/>
        <v/>
      </c>
      <c r="H97" s="272">
        <f>78.8*2.2</f>
        <v>173.36</v>
      </c>
      <c r="I97" s="264" t="str">
        <f t="shared" si="35"/>
        <v/>
      </c>
      <c r="J97" s="265">
        <f>'4b. Stationary Comb. Factors'!$K$30</f>
        <v>6.6137566137566134E-3</v>
      </c>
      <c r="K97" s="266" t="str">
        <f t="shared" si="36"/>
        <v/>
      </c>
      <c r="L97" s="266" t="str">
        <f t="shared" si="37"/>
        <v/>
      </c>
      <c r="M97" s="267">
        <f>'4b. Stationary Comb. Factors'!$K$41</f>
        <v>1.3227513227513227E-3</v>
      </c>
      <c r="N97" s="268" t="str">
        <f t="shared" si="38"/>
        <v/>
      </c>
      <c r="O97" s="269" t="str">
        <f t="shared" si="39"/>
        <v/>
      </c>
      <c r="P97" s="270" t="str">
        <f t="shared" si="40"/>
        <v/>
      </c>
      <c r="Q97" s="292"/>
      <c r="R97" s="292"/>
      <c r="S97" s="292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</row>
    <row r="98" spans="1:42" s="239" customFormat="1" ht="18" customHeight="1" x14ac:dyDescent="0.15">
      <c r="A98" s="637"/>
      <c r="B98" s="51"/>
      <c r="C98" s="261"/>
      <c r="D98" s="240"/>
      <c r="E98" s="52"/>
      <c r="F98" s="449"/>
      <c r="G98" s="262"/>
      <c r="H98" s="275"/>
      <c r="I98" s="264" t="str">
        <f t="shared" si="35"/>
        <v/>
      </c>
      <c r="J98" s="265"/>
      <c r="K98" s="266" t="str">
        <f t="shared" si="36"/>
        <v/>
      </c>
      <c r="L98" s="266" t="str">
        <f t="shared" si="37"/>
        <v/>
      </c>
      <c r="M98" s="267"/>
      <c r="N98" s="268" t="str">
        <f t="shared" si="38"/>
        <v/>
      </c>
      <c r="O98" s="269" t="str">
        <f t="shared" si="39"/>
        <v/>
      </c>
      <c r="P98" s="270" t="str">
        <f t="shared" si="40"/>
        <v/>
      </c>
      <c r="Q98" s="292"/>
      <c r="R98" s="292"/>
      <c r="S98" s="292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</row>
    <row r="99" spans="1:42" s="239" customFormat="1" ht="18" customHeight="1" x14ac:dyDescent="0.15">
      <c r="A99" s="637"/>
      <c r="B99" s="51"/>
      <c r="C99" s="261"/>
      <c r="D99" s="240"/>
      <c r="E99" s="52"/>
      <c r="F99" s="449"/>
      <c r="G99" s="262"/>
      <c r="H99" s="275"/>
      <c r="I99" s="264" t="str">
        <f t="shared" si="35"/>
        <v/>
      </c>
      <c r="J99" s="265"/>
      <c r="K99" s="266" t="str">
        <f t="shared" si="36"/>
        <v/>
      </c>
      <c r="L99" s="266" t="str">
        <f t="shared" si="37"/>
        <v/>
      </c>
      <c r="M99" s="267"/>
      <c r="N99" s="268" t="str">
        <f t="shared" si="38"/>
        <v/>
      </c>
      <c r="O99" s="269" t="str">
        <f t="shared" si="39"/>
        <v/>
      </c>
      <c r="P99" s="407" t="str">
        <f t="shared" si="40"/>
        <v/>
      </c>
      <c r="Q99" s="292"/>
      <c r="R99" s="292"/>
      <c r="S99" s="292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1:42" s="239" customFormat="1" ht="18" customHeight="1" x14ac:dyDescent="0.15">
      <c r="A100" s="637"/>
      <c r="B100" s="51"/>
      <c r="C100" s="261"/>
      <c r="D100" s="240"/>
      <c r="E100" s="52"/>
      <c r="F100" s="449"/>
      <c r="G100" s="262"/>
      <c r="H100" s="275"/>
      <c r="I100" s="264" t="str">
        <f t="shared" si="35"/>
        <v/>
      </c>
      <c r="J100" s="265"/>
      <c r="K100" s="266" t="str">
        <f t="shared" si="36"/>
        <v/>
      </c>
      <c r="L100" s="266" t="str">
        <f t="shared" si="37"/>
        <v/>
      </c>
      <c r="M100" s="267"/>
      <c r="N100" s="268" t="str">
        <f t="shared" si="38"/>
        <v/>
      </c>
      <c r="O100" s="269"/>
      <c r="P100" s="407" t="str">
        <f t="shared" si="40"/>
        <v/>
      </c>
      <c r="Q100" s="292"/>
      <c r="R100" s="292"/>
      <c r="S100" s="292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</row>
    <row r="101" spans="1:42" s="278" customFormat="1" ht="22.5" customHeight="1" thickBot="1" x14ac:dyDescent="0.2">
      <c r="A101" s="638"/>
      <c r="B101" s="641" t="s">
        <v>388</v>
      </c>
      <c r="C101" s="645"/>
      <c r="D101" s="645"/>
      <c r="E101" s="645"/>
      <c r="F101" s="645"/>
      <c r="G101" s="645"/>
      <c r="H101" s="645"/>
      <c r="I101" s="645"/>
      <c r="J101" s="645"/>
      <c r="K101" s="645"/>
      <c r="L101" s="645"/>
      <c r="M101" s="645"/>
      <c r="N101" s="645"/>
      <c r="O101" s="646"/>
      <c r="P101" s="276">
        <f>SUM(P89:P100)</f>
        <v>0</v>
      </c>
      <c r="Q101" s="292"/>
      <c r="R101" s="292"/>
      <c r="S101" s="292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</row>
    <row r="102" spans="1:42" s="239" customFormat="1" ht="18" customHeight="1" thickTop="1" thickBot="1" x14ac:dyDescent="0.2">
      <c r="A102" s="636">
        <f>'1. Facility'!B14</f>
        <v>7</v>
      </c>
      <c r="B102" s="49"/>
      <c r="C102" s="251" t="s">
        <v>84</v>
      </c>
      <c r="D102" s="252" t="s">
        <v>637</v>
      </c>
      <c r="E102" s="50"/>
      <c r="F102" s="454">
        <f>'4b. Stationary Comb. Factors'!$C$22/1000000</f>
        <v>1.026E-3</v>
      </c>
      <c r="G102" s="253" t="str">
        <f>IF(E102&gt;0, E102*F102, "")</f>
        <v/>
      </c>
      <c r="H102" s="254">
        <f>'4b. Stationary Comb. Factors'!$K$22</f>
        <v>116.99730000000001</v>
      </c>
      <c r="I102" s="255" t="str">
        <f t="shared" ref="I102:I113" si="42">IF(E102&gt;0, G102*H102/2000, "")</f>
        <v/>
      </c>
      <c r="J102" s="256">
        <f>'4b. Stationary Comb. Factors'!$K$32</f>
        <v>2.2045855379188711E-3</v>
      </c>
      <c r="K102" s="257" t="str">
        <f t="shared" ref="K102:K113" si="43">IF(E102&gt;0, G102*J102/2000, "")</f>
        <v/>
      </c>
      <c r="L102" s="257" t="str">
        <f t="shared" ref="L102:L113" si="44">IF(E102&gt;0, $I$9*K102,"")</f>
        <v/>
      </c>
      <c r="M102" s="258">
        <f>'4b. Stationary Comb. Factors'!$K$43</f>
        <v>2.2045855379188711E-4</v>
      </c>
      <c r="N102" s="259" t="str">
        <f t="shared" ref="N102:N113" si="45">IF(E102&gt;0, M102*G102/2000,"")</f>
        <v/>
      </c>
      <c r="O102" s="260" t="str">
        <f t="shared" ref="O102:O112" si="46">IF(E102&gt;0, $I$10*N102, "")</f>
        <v/>
      </c>
      <c r="P102" s="406" t="str">
        <f t="shared" ref="P102:P113" si="47">IF(E102&gt;0, I102+L102+O102, "")</f>
        <v/>
      </c>
      <c r="Q102" s="291"/>
      <c r="R102" s="291"/>
      <c r="S102" s="291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</row>
    <row r="103" spans="1:42" s="239" customFormat="1" ht="18" customHeight="1" thickTop="1" thickBot="1" x14ac:dyDescent="0.2">
      <c r="A103" s="637"/>
      <c r="B103" s="51"/>
      <c r="C103" s="261" t="s">
        <v>84</v>
      </c>
      <c r="D103" s="240" t="s">
        <v>637</v>
      </c>
      <c r="E103" s="52"/>
      <c r="F103" s="454">
        <f>'4b. Stationary Comb. Factors'!$C$22/1000000</f>
        <v>1.026E-3</v>
      </c>
      <c r="G103" s="262" t="str">
        <f>IF(E103&gt;0, E103*F103, "")</f>
        <v/>
      </c>
      <c r="H103" s="263">
        <f>'4b. Stationary Comb. Factors'!$K$22</f>
        <v>116.99730000000001</v>
      </c>
      <c r="I103" s="264" t="str">
        <f t="shared" si="42"/>
        <v/>
      </c>
      <c r="J103" s="265">
        <f>'4b. Stationary Comb. Factors'!$K$32</f>
        <v>2.2045855379188711E-3</v>
      </c>
      <c r="K103" s="266" t="str">
        <f t="shared" si="43"/>
        <v/>
      </c>
      <c r="L103" s="266" t="str">
        <f t="shared" si="44"/>
        <v/>
      </c>
      <c r="M103" s="267">
        <f>'4b. Stationary Comb. Factors'!$K$43</f>
        <v>2.2045855379188711E-4</v>
      </c>
      <c r="N103" s="268" t="str">
        <f t="shared" si="45"/>
        <v/>
      </c>
      <c r="O103" s="269" t="str">
        <f t="shared" si="46"/>
        <v/>
      </c>
      <c r="P103" s="135" t="str">
        <f t="shared" si="47"/>
        <v/>
      </c>
      <c r="Q103" s="292"/>
      <c r="R103" s="292"/>
      <c r="S103" s="292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</row>
    <row r="104" spans="1:42" s="239" customFormat="1" ht="18" customHeight="1" thickTop="1" x14ac:dyDescent="0.15">
      <c r="A104" s="637"/>
      <c r="B104" s="51"/>
      <c r="C104" s="261" t="s">
        <v>84</v>
      </c>
      <c r="D104" s="240" t="s">
        <v>638</v>
      </c>
      <c r="E104" s="52"/>
      <c r="F104" s="454">
        <f>'4b. Stationary Comb. Factors'!$C$22/1000000</f>
        <v>1.026E-3</v>
      </c>
      <c r="G104" s="262" t="str">
        <f t="shared" ref="G104:G110" si="48">IF(E104&gt;0, E104*F104, "")</f>
        <v/>
      </c>
      <c r="H104" s="271">
        <f>'4b. Stationary Comb. Factors'!$K$22</f>
        <v>116.99730000000001</v>
      </c>
      <c r="I104" s="264" t="str">
        <f t="shared" si="42"/>
        <v/>
      </c>
      <c r="J104" s="265">
        <f>'4b. Stationary Comb. Factors'!$K$32</f>
        <v>2.2045855379188711E-3</v>
      </c>
      <c r="K104" s="266" t="str">
        <f t="shared" si="43"/>
        <v/>
      </c>
      <c r="L104" s="266" t="str">
        <f t="shared" si="44"/>
        <v/>
      </c>
      <c r="M104" s="267">
        <f>'4b. Stationary Comb. Factors'!$K$43</f>
        <v>2.2045855379188711E-4</v>
      </c>
      <c r="N104" s="268" t="str">
        <f t="shared" si="45"/>
        <v/>
      </c>
      <c r="O104" s="269" t="str">
        <f t="shared" si="46"/>
        <v/>
      </c>
      <c r="P104" s="270" t="str">
        <f t="shared" si="47"/>
        <v/>
      </c>
      <c r="Q104" s="292"/>
      <c r="R104" s="292"/>
      <c r="S104" s="292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</row>
    <row r="105" spans="1:42" s="239" customFormat="1" ht="18" customHeight="1" x14ac:dyDescent="0.15">
      <c r="A105" s="637"/>
      <c r="B105" s="51"/>
      <c r="C105" s="261" t="s">
        <v>51</v>
      </c>
      <c r="D105" s="240" t="s">
        <v>638</v>
      </c>
      <c r="E105" s="52"/>
      <c r="F105" s="455">
        <f>'4b. Stationary Comb. Factors'!$C$17/42</f>
        <v>9.1047619047619044E-2</v>
      </c>
      <c r="G105" s="262" t="str">
        <f t="shared" si="48"/>
        <v/>
      </c>
      <c r="H105" s="272">
        <f>'4b. Stationary Comb. Factors'!$K$17</f>
        <v>138.62835000000001</v>
      </c>
      <c r="I105" s="264" t="str">
        <f t="shared" si="42"/>
        <v/>
      </c>
      <c r="J105" s="265">
        <f>'4b. Stationary Comb. Factors'!$K$32</f>
        <v>2.2045855379188711E-3</v>
      </c>
      <c r="K105" s="266" t="str">
        <f t="shared" si="43"/>
        <v/>
      </c>
      <c r="L105" s="266" t="str">
        <f t="shared" si="44"/>
        <v/>
      </c>
      <c r="M105" s="267">
        <f>'4b. Stationary Comb. Factors'!$K$43</f>
        <v>2.2045855379188711E-4</v>
      </c>
      <c r="N105" s="268" t="str">
        <f t="shared" si="45"/>
        <v/>
      </c>
      <c r="O105" s="269" t="str">
        <f t="shared" si="46"/>
        <v/>
      </c>
      <c r="P105" s="270" t="str">
        <f t="shared" si="47"/>
        <v/>
      </c>
      <c r="Q105" s="292"/>
      <c r="R105" s="292"/>
      <c r="S105" s="292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</row>
    <row r="106" spans="1:42" s="239" customFormat="1" ht="18" customHeight="1" x14ac:dyDescent="0.15">
      <c r="A106" s="637"/>
      <c r="B106" s="51"/>
      <c r="C106" s="261" t="s">
        <v>51</v>
      </c>
      <c r="D106" s="240" t="s">
        <v>638</v>
      </c>
      <c r="E106" s="52"/>
      <c r="F106" s="455">
        <f>'4b. Stationary Comb. Factors'!$C$17/42</f>
        <v>9.1047619047619044E-2</v>
      </c>
      <c r="G106" s="262" t="str">
        <f t="shared" si="48"/>
        <v/>
      </c>
      <c r="H106" s="272">
        <f>'4b. Stationary Comb. Factors'!$K$17</f>
        <v>138.62835000000001</v>
      </c>
      <c r="I106" s="264" t="str">
        <f t="shared" si="42"/>
        <v/>
      </c>
      <c r="J106" s="273">
        <f>'4b. Stationary Comb. Factors'!$K$32</f>
        <v>2.2045855379188711E-3</v>
      </c>
      <c r="K106" s="266" t="str">
        <f t="shared" si="43"/>
        <v/>
      </c>
      <c r="L106" s="266" t="str">
        <f t="shared" si="44"/>
        <v/>
      </c>
      <c r="M106" s="274">
        <f>'4b. Stationary Comb. Factors'!$K$43</f>
        <v>2.2045855379188711E-4</v>
      </c>
      <c r="N106" s="268" t="str">
        <f t="shared" si="45"/>
        <v/>
      </c>
      <c r="O106" s="269" t="str">
        <f t="shared" si="46"/>
        <v/>
      </c>
      <c r="P106" s="270" t="str">
        <f t="shared" si="47"/>
        <v/>
      </c>
      <c r="Q106" s="292"/>
      <c r="R106" s="292"/>
      <c r="S106" s="292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</row>
    <row r="107" spans="1:42" s="239" customFormat="1" ht="18" customHeight="1" x14ac:dyDescent="0.15">
      <c r="A107" s="637"/>
      <c r="B107" s="51"/>
      <c r="C107" s="261" t="s">
        <v>489</v>
      </c>
      <c r="D107" s="240" t="s">
        <v>638</v>
      </c>
      <c r="E107" s="52"/>
      <c r="F107" s="455">
        <f>'4b. Stationary Comb. Factors'!$C$14/42</f>
        <v>0.1386904761904762</v>
      </c>
      <c r="G107" s="262" t="str">
        <f t="shared" si="48"/>
        <v/>
      </c>
      <c r="H107" s="272">
        <f>'4b. Stationary Comb. Factors'!$K$14</f>
        <v>163.08179999999999</v>
      </c>
      <c r="I107" s="264" t="str">
        <f t="shared" si="42"/>
        <v/>
      </c>
      <c r="J107" s="265">
        <f>'4b. Stationary Comb. Factors'!$K$30</f>
        <v>6.6137566137566134E-3</v>
      </c>
      <c r="K107" s="266" t="str">
        <f t="shared" si="43"/>
        <v/>
      </c>
      <c r="L107" s="266" t="str">
        <f t="shared" si="44"/>
        <v/>
      </c>
      <c r="M107" s="267">
        <f>'4b. Stationary Comb. Factors'!$K$41</f>
        <v>1.3227513227513227E-3</v>
      </c>
      <c r="N107" s="268" t="str">
        <f t="shared" si="45"/>
        <v/>
      </c>
      <c r="O107" s="269" t="str">
        <f t="shared" si="46"/>
        <v/>
      </c>
      <c r="P107" s="270" t="str">
        <f t="shared" si="47"/>
        <v/>
      </c>
      <c r="Q107" s="292"/>
      <c r="R107" s="292"/>
      <c r="S107" s="292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</row>
    <row r="108" spans="1:42" s="239" customFormat="1" ht="18" customHeight="1" x14ac:dyDescent="0.15">
      <c r="A108" s="637"/>
      <c r="B108" s="51"/>
      <c r="C108" s="261" t="s">
        <v>489</v>
      </c>
      <c r="D108" s="240" t="s">
        <v>638</v>
      </c>
      <c r="E108" s="52"/>
      <c r="F108" s="455">
        <f>'4b. Stationary Comb. Factors'!$C$14/42</f>
        <v>0.1386904761904762</v>
      </c>
      <c r="G108" s="262" t="str">
        <f t="shared" si="48"/>
        <v/>
      </c>
      <c r="H108" s="272">
        <f>'4b. Stationary Comb. Factors'!$K$14</f>
        <v>163.08179999999999</v>
      </c>
      <c r="I108" s="264" t="str">
        <f t="shared" si="42"/>
        <v/>
      </c>
      <c r="J108" s="265">
        <f>'4b. Stationary Comb. Factors'!$K$30</f>
        <v>6.6137566137566134E-3</v>
      </c>
      <c r="K108" s="266" t="str">
        <f t="shared" si="43"/>
        <v/>
      </c>
      <c r="L108" s="266" t="str">
        <f t="shared" si="44"/>
        <v/>
      </c>
      <c r="M108" s="267">
        <f>'4b. Stationary Comb. Factors'!$K$41</f>
        <v>1.3227513227513227E-3</v>
      </c>
      <c r="N108" s="268" t="str">
        <f t="shared" si="45"/>
        <v/>
      </c>
      <c r="O108" s="269" t="str">
        <f t="shared" si="46"/>
        <v/>
      </c>
      <c r="P108" s="270" t="str">
        <f t="shared" si="47"/>
        <v/>
      </c>
      <c r="Q108" s="292"/>
      <c r="R108" s="292"/>
      <c r="S108" s="292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</row>
    <row r="109" spans="1:42" s="239" customFormat="1" ht="18" customHeight="1" x14ac:dyDescent="0.15">
      <c r="A109" s="637"/>
      <c r="B109" s="51"/>
      <c r="C109" s="261" t="s">
        <v>52</v>
      </c>
      <c r="D109" s="240" t="s">
        <v>638</v>
      </c>
      <c r="E109" s="52"/>
      <c r="F109" s="455">
        <f>'4b. Stationary Comb. Factors'!$C$13/42</f>
        <v>0.14969047619047618</v>
      </c>
      <c r="G109" s="262" t="str">
        <f t="shared" si="48"/>
        <v/>
      </c>
      <c r="H109" s="272">
        <f>'4b. Stationary Comb. Factors'!$K$13</f>
        <v>165.59549999999999</v>
      </c>
      <c r="I109" s="264" t="str">
        <f t="shared" si="42"/>
        <v/>
      </c>
      <c r="J109" s="265">
        <f>'4b. Stationary Comb. Factors'!$K$30</f>
        <v>6.6137566137566134E-3</v>
      </c>
      <c r="K109" s="266" t="str">
        <f t="shared" si="43"/>
        <v/>
      </c>
      <c r="L109" s="266" t="str">
        <f t="shared" si="44"/>
        <v/>
      </c>
      <c r="M109" s="267">
        <f>'4b. Stationary Comb. Factors'!$K$41</f>
        <v>1.3227513227513227E-3</v>
      </c>
      <c r="N109" s="268" t="str">
        <f t="shared" si="45"/>
        <v/>
      </c>
      <c r="O109" s="269" t="str">
        <f t="shared" si="46"/>
        <v/>
      </c>
      <c r="P109" s="270" t="str">
        <f t="shared" si="47"/>
        <v/>
      </c>
      <c r="Q109" s="292"/>
      <c r="R109" s="292"/>
      <c r="S109" s="292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</row>
    <row r="110" spans="1:42" s="239" customFormat="1" ht="18" customHeight="1" x14ac:dyDescent="0.15">
      <c r="A110" s="637"/>
      <c r="B110" s="51"/>
      <c r="C110" s="261" t="s">
        <v>52</v>
      </c>
      <c r="D110" s="240" t="s">
        <v>638</v>
      </c>
      <c r="E110" s="52"/>
      <c r="F110" s="455">
        <f>'4b. Stationary Comb. Factors'!$C$13/42</f>
        <v>0.14969047619047618</v>
      </c>
      <c r="G110" s="262" t="str">
        <f t="shared" si="48"/>
        <v/>
      </c>
      <c r="H110" s="272">
        <f>78.8*2.2</f>
        <v>173.36</v>
      </c>
      <c r="I110" s="264" t="str">
        <f t="shared" si="42"/>
        <v/>
      </c>
      <c r="J110" s="265">
        <f>'4b. Stationary Comb. Factors'!$K$30</f>
        <v>6.6137566137566134E-3</v>
      </c>
      <c r="K110" s="266" t="str">
        <f t="shared" si="43"/>
        <v/>
      </c>
      <c r="L110" s="266" t="str">
        <f t="shared" si="44"/>
        <v/>
      </c>
      <c r="M110" s="267">
        <f>'4b. Stationary Comb. Factors'!$K$41</f>
        <v>1.3227513227513227E-3</v>
      </c>
      <c r="N110" s="268" t="str">
        <f t="shared" si="45"/>
        <v/>
      </c>
      <c r="O110" s="269" t="str">
        <f t="shared" si="46"/>
        <v/>
      </c>
      <c r="P110" s="270" t="str">
        <f t="shared" si="47"/>
        <v/>
      </c>
      <c r="Q110" s="292"/>
      <c r="R110" s="292"/>
      <c r="S110" s="292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</row>
    <row r="111" spans="1:42" s="239" customFormat="1" ht="18" customHeight="1" x14ac:dyDescent="0.15">
      <c r="A111" s="637"/>
      <c r="B111" s="51"/>
      <c r="C111" s="261"/>
      <c r="D111" s="240"/>
      <c r="E111" s="52"/>
      <c r="F111" s="449"/>
      <c r="G111" s="262"/>
      <c r="H111" s="275"/>
      <c r="I111" s="264" t="str">
        <f t="shared" si="42"/>
        <v/>
      </c>
      <c r="J111" s="265"/>
      <c r="K111" s="266" t="str">
        <f t="shared" si="43"/>
        <v/>
      </c>
      <c r="L111" s="266" t="str">
        <f t="shared" si="44"/>
        <v/>
      </c>
      <c r="M111" s="267"/>
      <c r="N111" s="268" t="str">
        <f t="shared" si="45"/>
        <v/>
      </c>
      <c r="O111" s="269" t="str">
        <f t="shared" si="46"/>
        <v/>
      </c>
      <c r="P111" s="270" t="str">
        <f t="shared" si="47"/>
        <v/>
      </c>
      <c r="Q111" s="292"/>
      <c r="R111" s="292"/>
      <c r="S111" s="292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</row>
    <row r="112" spans="1:42" s="239" customFormat="1" ht="18" customHeight="1" x14ac:dyDescent="0.15">
      <c r="A112" s="637"/>
      <c r="B112" s="51"/>
      <c r="C112" s="261"/>
      <c r="D112" s="240"/>
      <c r="E112" s="52"/>
      <c r="F112" s="449"/>
      <c r="G112" s="262"/>
      <c r="H112" s="275"/>
      <c r="I112" s="264" t="str">
        <f t="shared" si="42"/>
        <v/>
      </c>
      <c r="J112" s="265"/>
      <c r="K112" s="266" t="str">
        <f t="shared" si="43"/>
        <v/>
      </c>
      <c r="L112" s="266" t="str">
        <f t="shared" si="44"/>
        <v/>
      </c>
      <c r="M112" s="267"/>
      <c r="N112" s="268" t="str">
        <f t="shared" si="45"/>
        <v/>
      </c>
      <c r="O112" s="269" t="str">
        <f t="shared" si="46"/>
        <v/>
      </c>
      <c r="P112" s="407" t="str">
        <f t="shared" si="47"/>
        <v/>
      </c>
      <c r="Q112" s="292"/>
      <c r="R112" s="292"/>
      <c r="S112" s="292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</row>
    <row r="113" spans="1:42" s="239" customFormat="1" ht="18" customHeight="1" x14ac:dyDescent="0.15">
      <c r="A113" s="637"/>
      <c r="B113" s="51"/>
      <c r="C113" s="261"/>
      <c r="D113" s="240"/>
      <c r="E113" s="52"/>
      <c r="F113" s="449"/>
      <c r="G113" s="262"/>
      <c r="H113" s="275"/>
      <c r="I113" s="264" t="str">
        <f t="shared" si="42"/>
        <v/>
      </c>
      <c r="J113" s="265"/>
      <c r="K113" s="266" t="str">
        <f t="shared" si="43"/>
        <v/>
      </c>
      <c r="L113" s="266" t="str">
        <f t="shared" si="44"/>
        <v/>
      </c>
      <c r="M113" s="267"/>
      <c r="N113" s="268" t="str">
        <f t="shared" si="45"/>
        <v/>
      </c>
      <c r="O113" s="269"/>
      <c r="P113" s="407" t="str">
        <f t="shared" si="47"/>
        <v/>
      </c>
      <c r="Q113" s="292"/>
      <c r="R113" s="292"/>
      <c r="S113" s="292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</row>
    <row r="114" spans="1:42" s="278" customFormat="1" ht="22.5" customHeight="1" thickBot="1" x14ac:dyDescent="0.2">
      <c r="A114" s="638"/>
      <c r="B114" s="641" t="s">
        <v>388</v>
      </c>
      <c r="C114" s="645"/>
      <c r="D114" s="645"/>
      <c r="E114" s="645"/>
      <c r="F114" s="645"/>
      <c r="G114" s="645"/>
      <c r="H114" s="645"/>
      <c r="I114" s="645"/>
      <c r="J114" s="645"/>
      <c r="K114" s="645"/>
      <c r="L114" s="645"/>
      <c r="M114" s="645"/>
      <c r="N114" s="645"/>
      <c r="O114" s="646"/>
      <c r="P114" s="276">
        <f>SUM(P102:P113)</f>
        <v>0</v>
      </c>
      <c r="Q114" s="292"/>
      <c r="R114" s="292"/>
      <c r="S114" s="292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</row>
    <row r="115" spans="1:42" s="239" customFormat="1" ht="18" customHeight="1" thickTop="1" thickBot="1" x14ac:dyDescent="0.2">
      <c r="A115" s="636">
        <f>'1. Facility'!B15</f>
        <v>8</v>
      </c>
      <c r="B115" s="49"/>
      <c r="C115" s="251" t="s">
        <v>84</v>
      </c>
      <c r="D115" s="252" t="s">
        <v>637</v>
      </c>
      <c r="E115" s="50"/>
      <c r="F115" s="454">
        <f>'4b. Stationary Comb. Factors'!$C$22/1000000</f>
        <v>1.026E-3</v>
      </c>
      <c r="G115" s="253" t="str">
        <f>IF(E115&gt;0, E115*F115, "")</f>
        <v/>
      </c>
      <c r="H115" s="254">
        <f>'4b. Stationary Comb. Factors'!$K$22</f>
        <v>116.99730000000001</v>
      </c>
      <c r="I115" s="255" t="str">
        <f t="shared" ref="I115:I126" si="49">IF(E115&gt;0, G115*H115/2000, "")</f>
        <v/>
      </c>
      <c r="J115" s="256">
        <f>'4b. Stationary Comb. Factors'!$K$32</f>
        <v>2.2045855379188711E-3</v>
      </c>
      <c r="K115" s="257" t="str">
        <f t="shared" ref="K115:K126" si="50">IF(E115&gt;0, G115*J115/2000, "")</f>
        <v/>
      </c>
      <c r="L115" s="257" t="str">
        <f t="shared" ref="L115:L126" si="51">IF(E115&gt;0, $I$9*K115,"")</f>
        <v/>
      </c>
      <c r="M115" s="258">
        <f>'4b. Stationary Comb. Factors'!$K$43</f>
        <v>2.2045855379188711E-4</v>
      </c>
      <c r="N115" s="259" t="str">
        <f t="shared" ref="N115:N126" si="52">IF(E115&gt;0, M115*G115/2000,"")</f>
        <v/>
      </c>
      <c r="O115" s="260" t="str">
        <f t="shared" ref="O115:O125" si="53">IF(E115&gt;0, $I$10*N115, "")</f>
        <v/>
      </c>
      <c r="P115" s="406" t="str">
        <f t="shared" ref="P115:P126" si="54">IF(E115&gt;0, I115+L115+O115, "")</f>
        <v/>
      </c>
      <c r="Q115" s="291"/>
      <c r="R115" s="291"/>
      <c r="S115" s="291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</row>
    <row r="116" spans="1:42" s="239" customFormat="1" ht="18" customHeight="1" thickTop="1" thickBot="1" x14ac:dyDescent="0.2">
      <c r="A116" s="637"/>
      <c r="B116" s="51"/>
      <c r="C116" s="261" t="s">
        <v>84</v>
      </c>
      <c r="D116" s="240" t="s">
        <v>637</v>
      </c>
      <c r="E116" s="52"/>
      <c r="F116" s="454">
        <f>'4b. Stationary Comb. Factors'!$C$22/1000000</f>
        <v>1.026E-3</v>
      </c>
      <c r="G116" s="262" t="str">
        <f>IF(E116&gt;0, E116*F116, "")</f>
        <v/>
      </c>
      <c r="H116" s="263">
        <f>'4b. Stationary Comb. Factors'!$K$22</f>
        <v>116.99730000000001</v>
      </c>
      <c r="I116" s="264" t="str">
        <f t="shared" si="49"/>
        <v/>
      </c>
      <c r="J116" s="265">
        <f>'4b. Stationary Comb. Factors'!$K$32</f>
        <v>2.2045855379188711E-3</v>
      </c>
      <c r="K116" s="266" t="str">
        <f t="shared" si="50"/>
        <v/>
      </c>
      <c r="L116" s="266" t="str">
        <f t="shared" si="51"/>
        <v/>
      </c>
      <c r="M116" s="267">
        <f>'4b. Stationary Comb. Factors'!$K$43</f>
        <v>2.2045855379188711E-4</v>
      </c>
      <c r="N116" s="268" t="str">
        <f t="shared" si="52"/>
        <v/>
      </c>
      <c r="O116" s="269" t="str">
        <f t="shared" si="53"/>
        <v/>
      </c>
      <c r="P116" s="135" t="str">
        <f t="shared" si="54"/>
        <v/>
      </c>
      <c r="Q116" s="292"/>
      <c r="R116" s="292"/>
      <c r="S116" s="292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</row>
    <row r="117" spans="1:42" s="239" customFormat="1" ht="18" customHeight="1" thickTop="1" x14ac:dyDescent="0.15">
      <c r="A117" s="637"/>
      <c r="B117" s="51"/>
      <c r="C117" s="261" t="s">
        <v>84</v>
      </c>
      <c r="D117" s="240" t="s">
        <v>638</v>
      </c>
      <c r="E117" s="52"/>
      <c r="F117" s="454">
        <f>'4b. Stationary Comb. Factors'!$C$22/1000000</f>
        <v>1.026E-3</v>
      </c>
      <c r="G117" s="262" t="str">
        <f t="shared" ref="G117:G123" si="55">IF(E117&gt;0, E117*F117, "")</f>
        <v/>
      </c>
      <c r="H117" s="271">
        <f>'4b. Stationary Comb. Factors'!$K$22</f>
        <v>116.99730000000001</v>
      </c>
      <c r="I117" s="264" t="str">
        <f t="shared" si="49"/>
        <v/>
      </c>
      <c r="J117" s="265">
        <f>'4b. Stationary Comb. Factors'!$K$32</f>
        <v>2.2045855379188711E-3</v>
      </c>
      <c r="K117" s="266" t="str">
        <f t="shared" si="50"/>
        <v/>
      </c>
      <c r="L117" s="266" t="str">
        <f t="shared" si="51"/>
        <v/>
      </c>
      <c r="M117" s="267">
        <f>'4b. Stationary Comb. Factors'!$K$43</f>
        <v>2.2045855379188711E-4</v>
      </c>
      <c r="N117" s="268" t="str">
        <f t="shared" si="52"/>
        <v/>
      </c>
      <c r="O117" s="269" t="str">
        <f t="shared" si="53"/>
        <v/>
      </c>
      <c r="P117" s="270" t="str">
        <f t="shared" si="54"/>
        <v/>
      </c>
      <c r="Q117" s="292"/>
      <c r="R117" s="292"/>
      <c r="S117" s="292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</row>
    <row r="118" spans="1:42" s="239" customFormat="1" ht="18" customHeight="1" x14ac:dyDescent="0.15">
      <c r="A118" s="637"/>
      <c r="B118" s="51"/>
      <c r="C118" s="261" t="s">
        <v>51</v>
      </c>
      <c r="D118" s="240" t="s">
        <v>638</v>
      </c>
      <c r="E118" s="52"/>
      <c r="F118" s="455">
        <f>'4b. Stationary Comb. Factors'!$C$17/42</f>
        <v>9.1047619047619044E-2</v>
      </c>
      <c r="G118" s="262" t="str">
        <f t="shared" si="55"/>
        <v/>
      </c>
      <c r="H118" s="272">
        <f>'4b. Stationary Comb. Factors'!$K$17</f>
        <v>138.62835000000001</v>
      </c>
      <c r="I118" s="264" t="str">
        <f t="shared" si="49"/>
        <v/>
      </c>
      <c r="J118" s="265">
        <f>'4b. Stationary Comb. Factors'!$K$32</f>
        <v>2.2045855379188711E-3</v>
      </c>
      <c r="K118" s="266" t="str">
        <f t="shared" si="50"/>
        <v/>
      </c>
      <c r="L118" s="266" t="str">
        <f t="shared" si="51"/>
        <v/>
      </c>
      <c r="M118" s="267">
        <f>'4b. Stationary Comb. Factors'!$K$43</f>
        <v>2.2045855379188711E-4</v>
      </c>
      <c r="N118" s="268" t="str">
        <f t="shared" si="52"/>
        <v/>
      </c>
      <c r="O118" s="269" t="str">
        <f t="shared" si="53"/>
        <v/>
      </c>
      <c r="P118" s="270" t="str">
        <f t="shared" si="54"/>
        <v/>
      </c>
      <c r="Q118" s="292"/>
      <c r="R118" s="292"/>
      <c r="S118" s="292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1:42" s="239" customFormat="1" ht="18" customHeight="1" x14ac:dyDescent="0.15">
      <c r="A119" s="637"/>
      <c r="B119" s="51"/>
      <c r="C119" s="261" t="s">
        <v>51</v>
      </c>
      <c r="D119" s="240" t="s">
        <v>638</v>
      </c>
      <c r="E119" s="52"/>
      <c r="F119" s="455">
        <f>'4b. Stationary Comb. Factors'!$C$17/42</f>
        <v>9.1047619047619044E-2</v>
      </c>
      <c r="G119" s="262" t="str">
        <f t="shared" si="55"/>
        <v/>
      </c>
      <c r="H119" s="272">
        <f>'4b. Stationary Comb. Factors'!$K$17</f>
        <v>138.62835000000001</v>
      </c>
      <c r="I119" s="264" t="str">
        <f t="shared" si="49"/>
        <v/>
      </c>
      <c r="J119" s="273">
        <f>'4b. Stationary Comb. Factors'!$K$32</f>
        <v>2.2045855379188711E-3</v>
      </c>
      <c r="K119" s="266" t="str">
        <f t="shared" si="50"/>
        <v/>
      </c>
      <c r="L119" s="266" t="str">
        <f t="shared" si="51"/>
        <v/>
      </c>
      <c r="M119" s="274">
        <f>'4b. Stationary Comb. Factors'!$K$43</f>
        <v>2.2045855379188711E-4</v>
      </c>
      <c r="N119" s="268" t="str">
        <f t="shared" si="52"/>
        <v/>
      </c>
      <c r="O119" s="269" t="str">
        <f t="shared" si="53"/>
        <v/>
      </c>
      <c r="P119" s="270" t="str">
        <f t="shared" si="54"/>
        <v/>
      </c>
      <c r="Q119" s="292"/>
      <c r="R119" s="292"/>
      <c r="S119" s="292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</row>
    <row r="120" spans="1:42" s="239" customFormat="1" ht="18" customHeight="1" x14ac:dyDescent="0.15">
      <c r="A120" s="637"/>
      <c r="B120" s="51"/>
      <c r="C120" s="261" t="s">
        <v>489</v>
      </c>
      <c r="D120" s="240" t="s">
        <v>638</v>
      </c>
      <c r="E120" s="52"/>
      <c r="F120" s="455">
        <f>'4b. Stationary Comb. Factors'!$C$14/42</f>
        <v>0.1386904761904762</v>
      </c>
      <c r="G120" s="262" t="str">
        <f t="shared" si="55"/>
        <v/>
      </c>
      <c r="H120" s="272">
        <f>'4b. Stationary Comb. Factors'!$K$14</f>
        <v>163.08179999999999</v>
      </c>
      <c r="I120" s="264" t="str">
        <f t="shared" si="49"/>
        <v/>
      </c>
      <c r="J120" s="265">
        <f>'4b. Stationary Comb. Factors'!$K$30</f>
        <v>6.6137566137566134E-3</v>
      </c>
      <c r="K120" s="266" t="str">
        <f t="shared" si="50"/>
        <v/>
      </c>
      <c r="L120" s="266" t="str">
        <f t="shared" si="51"/>
        <v/>
      </c>
      <c r="M120" s="267">
        <f>'4b. Stationary Comb. Factors'!$K$41</f>
        <v>1.3227513227513227E-3</v>
      </c>
      <c r="N120" s="268" t="str">
        <f t="shared" si="52"/>
        <v/>
      </c>
      <c r="O120" s="269" t="str">
        <f t="shared" si="53"/>
        <v/>
      </c>
      <c r="P120" s="270" t="str">
        <f t="shared" si="54"/>
        <v/>
      </c>
      <c r="Q120" s="292"/>
      <c r="R120" s="292"/>
      <c r="S120" s="292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</row>
    <row r="121" spans="1:42" s="239" customFormat="1" ht="18" customHeight="1" x14ac:dyDescent="0.15">
      <c r="A121" s="637"/>
      <c r="B121" s="51"/>
      <c r="C121" s="261" t="s">
        <v>489</v>
      </c>
      <c r="D121" s="240" t="s">
        <v>638</v>
      </c>
      <c r="E121" s="52"/>
      <c r="F121" s="455">
        <f>'4b. Stationary Comb. Factors'!$C$14/42</f>
        <v>0.1386904761904762</v>
      </c>
      <c r="G121" s="262" t="str">
        <f t="shared" si="55"/>
        <v/>
      </c>
      <c r="H121" s="272">
        <f>'4b. Stationary Comb. Factors'!$K$14</f>
        <v>163.08179999999999</v>
      </c>
      <c r="I121" s="264" t="str">
        <f t="shared" si="49"/>
        <v/>
      </c>
      <c r="J121" s="265">
        <f>'4b. Stationary Comb. Factors'!$K$30</f>
        <v>6.6137566137566134E-3</v>
      </c>
      <c r="K121" s="266" t="str">
        <f t="shared" si="50"/>
        <v/>
      </c>
      <c r="L121" s="266" t="str">
        <f t="shared" si="51"/>
        <v/>
      </c>
      <c r="M121" s="267">
        <f>'4b. Stationary Comb. Factors'!$K$41</f>
        <v>1.3227513227513227E-3</v>
      </c>
      <c r="N121" s="268" t="str">
        <f t="shared" si="52"/>
        <v/>
      </c>
      <c r="O121" s="269" t="str">
        <f t="shared" si="53"/>
        <v/>
      </c>
      <c r="P121" s="270" t="str">
        <f t="shared" si="54"/>
        <v/>
      </c>
      <c r="Q121" s="292"/>
      <c r="R121" s="292"/>
      <c r="S121" s="292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</row>
    <row r="122" spans="1:42" s="239" customFormat="1" ht="18" customHeight="1" x14ac:dyDescent="0.15">
      <c r="A122" s="637"/>
      <c r="B122" s="51"/>
      <c r="C122" s="261" t="s">
        <v>52</v>
      </c>
      <c r="D122" s="240" t="s">
        <v>638</v>
      </c>
      <c r="E122" s="52"/>
      <c r="F122" s="455">
        <f>'4b. Stationary Comb. Factors'!$C$13/42</f>
        <v>0.14969047619047618</v>
      </c>
      <c r="G122" s="262" t="str">
        <f t="shared" si="55"/>
        <v/>
      </c>
      <c r="H122" s="272">
        <f>'4b. Stationary Comb. Factors'!$K$13</f>
        <v>165.59549999999999</v>
      </c>
      <c r="I122" s="264" t="str">
        <f t="shared" si="49"/>
        <v/>
      </c>
      <c r="J122" s="265">
        <f>'4b. Stationary Comb. Factors'!$K$30</f>
        <v>6.6137566137566134E-3</v>
      </c>
      <c r="K122" s="266" t="str">
        <f t="shared" si="50"/>
        <v/>
      </c>
      <c r="L122" s="266" t="str">
        <f t="shared" si="51"/>
        <v/>
      </c>
      <c r="M122" s="267">
        <f>'4b. Stationary Comb. Factors'!$K$41</f>
        <v>1.3227513227513227E-3</v>
      </c>
      <c r="N122" s="268" t="str">
        <f t="shared" si="52"/>
        <v/>
      </c>
      <c r="O122" s="269" t="str">
        <f t="shared" si="53"/>
        <v/>
      </c>
      <c r="P122" s="270" t="str">
        <f t="shared" si="54"/>
        <v/>
      </c>
      <c r="Q122" s="292"/>
      <c r="R122" s="292"/>
      <c r="S122" s="292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</row>
    <row r="123" spans="1:42" s="239" customFormat="1" ht="18" customHeight="1" x14ac:dyDescent="0.15">
      <c r="A123" s="637"/>
      <c r="B123" s="51"/>
      <c r="C123" s="261" t="s">
        <v>52</v>
      </c>
      <c r="D123" s="240" t="s">
        <v>638</v>
      </c>
      <c r="E123" s="52"/>
      <c r="F123" s="455">
        <f>'4b. Stationary Comb. Factors'!$C$13/42</f>
        <v>0.14969047619047618</v>
      </c>
      <c r="G123" s="262" t="str">
        <f t="shared" si="55"/>
        <v/>
      </c>
      <c r="H123" s="272">
        <f>78.8*2.2</f>
        <v>173.36</v>
      </c>
      <c r="I123" s="264" t="str">
        <f t="shared" si="49"/>
        <v/>
      </c>
      <c r="J123" s="265">
        <f>'4b. Stationary Comb. Factors'!$K$30</f>
        <v>6.6137566137566134E-3</v>
      </c>
      <c r="K123" s="266" t="str">
        <f t="shared" si="50"/>
        <v/>
      </c>
      <c r="L123" s="266" t="str">
        <f t="shared" si="51"/>
        <v/>
      </c>
      <c r="M123" s="267">
        <f>'4b. Stationary Comb. Factors'!$K$41</f>
        <v>1.3227513227513227E-3</v>
      </c>
      <c r="N123" s="268" t="str">
        <f t="shared" si="52"/>
        <v/>
      </c>
      <c r="O123" s="269" t="str">
        <f t="shared" si="53"/>
        <v/>
      </c>
      <c r="P123" s="270" t="str">
        <f t="shared" si="54"/>
        <v/>
      </c>
      <c r="Q123" s="292"/>
      <c r="R123" s="292"/>
      <c r="S123" s="292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</row>
    <row r="124" spans="1:42" s="239" customFormat="1" ht="18" customHeight="1" x14ac:dyDescent="0.15">
      <c r="A124" s="637"/>
      <c r="B124" s="51"/>
      <c r="C124" s="261"/>
      <c r="D124" s="240"/>
      <c r="E124" s="52"/>
      <c r="F124" s="449"/>
      <c r="G124" s="262"/>
      <c r="H124" s="275"/>
      <c r="I124" s="264" t="str">
        <f t="shared" si="49"/>
        <v/>
      </c>
      <c r="J124" s="265"/>
      <c r="K124" s="266" t="str">
        <f t="shared" si="50"/>
        <v/>
      </c>
      <c r="L124" s="266" t="str">
        <f t="shared" si="51"/>
        <v/>
      </c>
      <c r="M124" s="267"/>
      <c r="N124" s="268" t="str">
        <f t="shared" si="52"/>
        <v/>
      </c>
      <c r="O124" s="269" t="str">
        <f t="shared" si="53"/>
        <v/>
      </c>
      <c r="P124" s="270" t="str">
        <f t="shared" si="54"/>
        <v/>
      </c>
      <c r="Q124" s="292"/>
      <c r="R124" s="292"/>
      <c r="S124" s="292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</row>
    <row r="125" spans="1:42" s="239" customFormat="1" ht="18" customHeight="1" x14ac:dyDescent="0.15">
      <c r="A125" s="637"/>
      <c r="B125" s="51"/>
      <c r="C125" s="261"/>
      <c r="D125" s="240"/>
      <c r="E125" s="52"/>
      <c r="F125" s="449"/>
      <c r="G125" s="262"/>
      <c r="H125" s="275"/>
      <c r="I125" s="264" t="str">
        <f t="shared" si="49"/>
        <v/>
      </c>
      <c r="J125" s="265"/>
      <c r="K125" s="266" t="str">
        <f t="shared" si="50"/>
        <v/>
      </c>
      <c r="L125" s="266" t="str">
        <f t="shared" si="51"/>
        <v/>
      </c>
      <c r="M125" s="267"/>
      <c r="N125" s="268" t="str">
        <f t="shared" si="52"/>
        <v/>
      </c>
      <c r="O125" s="269" t="str">
        <f t="shared" si="53"/>
        <v/>
      </c>
      <c r="P125" s="407" t="str">
        <f t="shared" si="54"/>
        <v/>
      </c>
      <c r="Q125" s="292"/>
      <c r="R125" s="292"/>
      <c r="S125" s="292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</row>
    <row r="126" spans="1:42" s="239" customFormat="1" ht="18" customHeight="1" x14ac:dyDescent="0.15">
      <c r="A126" s="637"/>
      <c r="B126" s="51"/>
      <c r="C126" s="261"/>
      <c r="D126" s="240"/>
      <c r="E126" s="52"/>
      <c r="F126" s="449"/>
      <c r="G126" s="262"/>
      <c r="H126" s="275"/>
      <c r="I126" s="264" t="str">
        <f t="shared" si="49"/>
        <v/>
      </c>
      <c r="J126" s="265"/>
      <c r="K126" s="266" t="str">
        <f t="shared" si="50"/>
        <v/>
      </c>
      <c r="L126" s="266" t="str">
        <f t="shared" si="51"/>
        <v/>
      </c>
      <c r="M126" s="267"/>
      <c r="N126" s="268" t="str">
        <f t="shared" si="52"/>
        <v/>
      </c>
      <c r="O126" s="269"/>
      <c r="P126" s="407" t="str">
        <f t="shared" si="54"/>
        <v/>
      </c>
      <c r="Q126" s="292"/>
      <c r="R126" s="292"/>
      <c r="S126" s="292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</row>
    <row r="127" spans="1:42" s="278" customFormat="1" ht="22.5" customHeight="1" thickBot="1" x14ac:dyDescent="0.2">
      <c r="A127" s="638"/>
      <c r="B127" s="641" t="s">
        <v>388</v>
      </c>
      <c r="C127" s="645"/>
      <c r="D127" s="645"/>
      <c r="E127" s="645"/>
      <c r="F127" s="645"/>
      <c r="G127" s="645"/>
      <c r="H127" s="645"/>
      <c r="I127" s="645"/>
      <c r="J127" s="645"/>
      <c r="K127" s="645"/>
      <c r="L127" s="645"/>
      <c r="M127" s="645"/>
      <c r="N127" s="645"/>
      <c r="O127" s="646"/>
      <c r="P127" s="276">
        <f>SUM(P115:P126)</f>
        <v>0</v>
      </c>
      <c r="Q127" s="292"/>
      <c r="R127" s="292"/>
      <c r="S127" s="292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</row>
    <row r="128" spans="1:42" s="239" customFormat="1" ht="18" customHeight="1" thickTop="1" thickBot="1" x14ac:dyDescent="0.2">
      <c r="A128" s="636">
        <f>'1. Facility'!B16</f>
        <v>9</v>
      </c>
      <c r="B128" s="49"/>
      <c r="C128" s="251" t="s">
        <v>84</v>
      </c>
      <c r="D128" s="252" t="s">
        <v>637</v>
      </c>
      <c r="E128" s="50"/>
      <c r="F128" s="454">
        <f>'4b. Stationary Comb. Factors'!$C$22/1000000</f>
        <v>1.026E-3</v>
      </c>
      <c r="G128" s="253" t="str">
        <f>IF(E128&gt;0, E128*F128, "")</f>
        <v/>
      </c>
      <c r="H128" s="254">
        <f>'4b. Stationary Comb. Factors'!$K$22</f>
        <v>116.99730000000001</v>
      </c>
      <c r="I128" s="255" t="str">
        <f t="shared" ref="I128:I139" si="56">IF(E128&gt;0, G128*H128/2000, "")</f>
        <v/>
      </c>
      <c r="J128" s="256">
        <f>'4b. Stationary Comb. Factors'!$K$32</f>
        <v>2.2045855379188711E-3</v>
      </c>
      <c r="K128" s="257" t="str">
        <f t="shared" ref="K128:K139" si="57">IF(E128&gt;0, G128*J128/2000, "")</f>
        <v/>
      </c>
      <c r="L128" s="257" t="str">
        <f t="shared" ref="L128:L139" si="58">IF(E128&gt;0, $I$9*K128,"")</f>
        <v/>
      </c>
      <c r="M128" s="258">
        <f>'4b. Stationary Comb. Factors'!$K$43</f>
        <v>2.2045855379188711E-4</v>
      </c>
      <c r="N128" s="259" t="str">
        <f t="shared" ref="N128:N139" si="59">IF(E128&gt;0, M128*G128/2000,"")</f>
        <v/>
      </c>
      <c r="O128" s="260" t="str">
        <f t="shared" ref="O128:O138" si="60">IF(E128&gt;0, $I$10*N128, "")</f>
        <v/>
      </c>
      <c r="P128" s="406" t="str">
        <f t="shared" ref="P128:P139" si="61">IF(E128&gt;0, I128+L128+O128, "")</f>
        <v/>
      </c>
      <c r="Q128" s="291"/>
      <c r="R128" s="291"/>
      <c r="S128" s="291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</row>
    <row r="129" spans="1:42" s="239" customFormat="1" ht="18" customHeight="1" thickTop="1" thickBot="1" x14ac:dyDescent="0.2">
      <c r="A129" s="637"/>
      <c r="B129" s="51"/>
      <c r="C129" s="261" t="s">
        <v>84</v>
      </c>
      <c r="D129" s="240" t="s">
        <v>637</v>
      </c>
      <c r="E129" s="52"/>
      <c r="F129" s="454">
        <f>'4b. Stationary Comb. Factors'!$C$22/1000000</f>
        <v>1.026E-3</v>
      </c>
      <c r="G129" s="262" t="str">
        <f>IF(E129&gt;0, E129*F129, "")</f>
        <v/>
      </c>
      <c r="H129" s="263">
        <f>'4b. Stationary Comb. Factors'!$K$22</f>
        <v>116.99730000000001</v>
      </c>
      <c r="I129" s="264" t="str">
        <f t="shared" si="56"/>
        <v/>
      </c>
      <c r="J129" s="265">
        <f>'4b. Stationary Comb. Factors'!$K$32</f>
        <v>2.2045855379188711E-3</v>
      </c>
      <c r="K129" s="266" t="str">
        <f t="shared" si="57"/>
        <v/>
      </c>
      <c r="L129" s="266" t="str">
        <f t="shared" si="58"/>
        <v/>
      </c>
      <c r="M129" s="267">
        <f>'4b. Stationary Comb. Factors'!$K$43</f>
        <v>2.2045855379188711E-4</v>
      </c>
      <c r="N129" s="268" t="str">
        <f t="shared" si="59"/>
        <v/>
      </c>
      <c r="O129" s="269" t="str">
        <f t="shared" si="60"/>
        <v/>
      </c>
      <c r="P129" s="135" t="str">
        <f t="shared" si="61"/>
        <v/>
      </c>
      <c r="Q129" s="292"/>
      <c r="R129" s="292"/>
      <c r="S129" s="292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</row>
    <row r="130" spans="1:42" s="239" customFormat="1" ht="18" customHeight="1" thickTop="1" x14ac:dyDescent="0.15">
      <c r="A130" s="637"/>
      <c r="B130" s="51"/>
      <c r="C130" s="261" t="s">
        <v>84</v>
      </c>
      <c r="D130" s="240" t="s">
        <v>638</v>
      </c>
      <c r="E130" s="52"/>
      <c r="F130" s="454">
        <f>'4b. Stationary Comb. Factors'!$C$22/1000000</f>
        <v>1.026E-3</v>
      </c>
      <c r="G130" s="262" t="str">
        <f t="shared" ref="G130:G136" si="62">IF(E130&gt;0, E130*F130, "")</f>
        <v/>
      </c>
      <c r="H130" s="271">
        <f>'4b. Stationary Comb. Factors'!$K$22</f>
        <v>116.99730000000001</v>
      </c>
      <c r="I130" s="264" t="str">
        <f t="shared" si="56"/>
        <v/>
      </c>
      <c r="J130" s="265">
        <f>'4b. Stationary Comb. Factors'!$K$32</f>
        <v>2.2045855379188711E-3</v>
      </c>
      <c r="K130" s="266" t="str">
        <f t="shared" si="57"/>
        <v/>
      </c>
      <c r="L130" s="266" t="str">
        <f t="shared" si="58"/>
        <v/>
      </c>
      <c r="M130" s="267">
        <f>'4b. Stationary Comb. Factors'!$K$43</f>
        <v>2.2045855379188711E-4</v>
      </c>
      <c r="N130" s="268" t="str">
        <f t="shared" si="59"/>
        <v/>
      </c>
      <c r="O130" s="269" t="str">
        <f t="shared" si="60"/>
        <v/>
      </c>
      <c r="P130" s="270" t="str">
        <f t="shared" si="61"/>
        <v/>
      </c>
      <c r="Q130" s="292"/>
      <c r="R130" s="292"/>
      <c r="S130" s="292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</row>
    <row r="131" spans="1:42" s="239" customFormat="1" ht="18" customHeight="1" x14ac:dyDescent="0.15">
      <c r="A131" s="637"/>
      <c r="B131" s="51"/>
      <c r="C131" s="261" t="s">
        <v>51</v>
      </c>
      <c r="D131" s="240" t="s">
        <v>638</v>
      </c>
      <c r="E131" s="52"/>
      <c r="F131" s="455">
        <f>'4b. Stationary Comb. Factors'!$C$17/42</f>
        <v>9.1047619047619044E-2</v>
      </c>
      <c r="G131" s="262" t="str">
        <f t="shared" si="62"/>
        <v/>
      </c>
      <c r="H131" s="272">
        <f>'4b. Stationary Comb. Factors'!$K$17</f>
        <v>138.62835000000001</v>
      </c>
      <c r="I131" s="264" t="str">
        <f t="shared" si="56"/>
        <v/>
      </c>
      <c r="J131" s="265">
        <f>'4b. Stationary Comb. Factors'!$K$32</f>
        <v>2.2045855379188711E-3</v>
      </c>
      <c r="K131" s="266" t="str">
        <f t="shared" si="57"/>
        <v/>
      </c>
      <c r="L131" s="266" t="str">
        <f t="shared" si="58"/>
        <v/>
      </c>
      <c r="M131" s="267">
        <f>'4b. Stationary Comb. Factors'!$K$43</f>
        <v>2.2045855379188711E-4</v>
      </c>
      <c r="N131" s="268" t="str">
        <f t="shared" si="59"/>
        <v/>
      </c>
      <c r="O131" s="269" t="str">
        <f t="shared" si="60"/>
        <v/>
      </c>
      <c r="P131" s="270" t="str">
        <f t="shared" si="61"/>
        <v/>
      </c>
      <c r="Q131" s="292"/>
      <c r="R131" s="292"/>
      <c r="S131" s="292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</row>
    <row r="132" spans="1:42" s="239" customFormat="1" ht="18" customHeight="1" x14ac:dyDescent="0.15">
      <c r="A132" s="637"/>
      <c r="B132" s="51"/>
      <c r="C132" s="261" t="s">
        <v>51</v>
      </c>
      <c r="D132" s="240" t="s">
        <v>638</v>
      </c>
      <c r="E132" s="52"/>
      <c r="F132" s="455">
        <f>'4b. Stationary Comb. Factors'!$C$17/42</f>
        <v>9.1047619047619044E-2</v>
      </c>
      <c r="G132" s="262" t="str">
        <f t="shared" si="62"/>
        <v/>
      </c>
      <c r="H132" s="272">
        <f>'4b. Stationary Comb. Factors'!$K$17</f>
        <v>138.62835000000001</v>
      </c>
      <c r="I132" s="264" t="str">
        <f t="shared" si="56"/>
        <v/>
      </c>
      <c r="J132" s="273">
        <f>'4b. Stationary Comb. Factors'!$K$32</f>
        <v>2.2045855379188711E-3</v>
      </c>
      <c r="K132" s="266" t="str">
        <f t="shared" si="57"/>
        <v/>
      </c>
      <c r="L132" s="266" t="str">
        <f t="shared" si="58"/>
        <v/>
      </c>
      <c r="M132" s="274">
        <f>'4b. Stationary Comb. Factors'!$K$43</f>
        <v>2.2045855379188711E-4</v>
      </c>
      <c r="N132" s="268" t="str">
        <f t="shared" si="59"/>
        <v/>
      </c>
      <c r="O132" s="269" t="str">
        <f t="shared" si="60"/>
        <v/>
      </c>
      <c r="P132" s="270" t="str">
        <f t="shared" si="61"/>
        <v/>
      </c>
      <c r="Q132" s="292"/>
      <c r="R132" s="292"/>
      <c r="S132" s="292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</row>
    <row r="133" spans="1:42" s="239" customFormat="1" ht="18" customHeight="1" x14ac:dyDescent="0.15">
      <c r="A133" s="637"/>
      <c r="B133" s="51"/>
      <c r="C133" s="261" t="s">
        <v>489</v>
      </c>
      <c r="D133" s="240" t="s">
        <v>638</v>
      </c>
      <c r="E133" s="52"/>
      <c r="F133" s="455">
        <f>'4b. Stationary Comb. Factors'!$C$14/42</f>
        <v>0.1386904761904762</v>
      </c>
      <c r="G133" s="262" t="str">
        <f t="shared" si="62"/>
        <v/>
      </c>
      <c r="H133" s="272">
        <f>'4b. Stationary Comb. Factors'!$K$14</f>
        <v>163.08179999999999</v>
      </c>
      <c r="I133" s="264" t="str">
        <f t="shared" si="56"/>
        <v/>
      </c>
      <c r="J133" s="265">
        <f>'4b. Stationary Comb. Factors'!$K$30</f>
        <v>6.6137566137566134E-3</v>
      </c>
      <c r="K133" s="266" t="str">
        <f t="shared" si="57"/>
        <v/>
      </c>
      <c r="L133" s="266" t="str">
        <f t="shared" si="58"/>
        <v/>
      </c>
      <c r="M133" s="267">
        <f>'4b. Stationary Comb. Factors'!$K$41</f>
        <v>1.3227513227513227E-3</v>
      </c>
      <c r="N133" s="268" t="str">
        <f t="shared" si="59"/>
        <v/>
      </c>
      <c r="O133" s="269" t="str">
        <f t="shared" si="60"/>
        <v/>
      </c>
      <c r="P133" s="270" t="str">
        <f t="shared" si="61"/>
        <v/>
      </c>
      <c r="Q133" s="292"/>
      <c r="R133" s="292"/>
      <c r="S133" s="292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</row>
    <row r="134" spans="1:42" s="239" customFormat="1" ht="18" customHeight="1" x14ac:dyDescent="0.15">
      <c r="A134" s="637"/>
      <c r="B134" s="51"/>
      <c r="C134" s="261" t="s">
        <v>489</v>
      </c>
      <c r="D134" s="240" t="s">
        <v>638</v>
      </c>
      <c r="E134" s="52"/>
      <c r="F134" s="455">
        <f>'4b. Stationary Comb. Factors'!$C$14/42</f>
        <v>0.1386904761904762</v>
      </c>
      <c r="G134" s="262" t="str">
        <f t="shared" si="62"/>
        <v/>
      </c>
      <c r="H134" s="272">
        <f>'4b. Stationary Comb. Factors'!$K$14</f>
        <v>163.08179999999999</v>
      </c>
      <c r="I134" s="264" t="str">
        <f t="shared" si="56"/>
        <v/>
      </c>
      <c r="J134" s="265">
        <f>'4b. Stationary Comb. Factors'!$K$30</f>
        <v>6.6137566137566134E-3</v>
      </c>
      <c r="K134" s="266" t="str">
        <f t="shared" si="57"/>
        <v/>
      </c>
      <c r="L134" s="266" t="str">
        <f t="shared" si="58"/>
        <v/>
      </c>
      <c r="M134" s="267">
        <f>'4b. Stationary Comb. Factors'!$K$41</f>
        <v>1.3227513227513227E-3</v>
      </c>
      <c r="N134" s="268" t="str">
        <f t="shared" si="59"/>
        <v/>
      </c>
      <c r="O134" s="269" t="str">
        <f t="shared" si="60"/>
        <v/>
      </c>
      <c r="P134" s="270" t="str">
        <f t="shared" si="61"/>
        <v/>
      </c>
      <c r="Q134" s="292"/>
      <c r="R134" s="292"/>
      <c r="S134" s="292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</row>
    <row r="135" spans="1:42" s="239" customFormat="1" ht="18" customHeight="1" x14ac:dyDescent="0.15">
      <c r="A135" s="637"/>
      <c r="B135" s="51"/>
      <c r="C135" s="261" t="s">
        <v>52</v>
      </c>
      <c r="D135" s="240" t="s">
        <v>638</v>
      </c>
      <c r="E135" s="52"/>
      <c r="F135" s="455">
        <f>'4b. Stationary Comb. Factors'!$C$13/42</f>
        <v>0.14969047619047618</v>
      </c>
      <c r="G135" s="262" t="str">
        <f t="shared" si="62"/>
        <v/>
      </c>
      <c r="H135" s="272">
        <f>'4b. Stationary Comb. Factors'!$K$13</f>
        <v>165.59549999999999</v>
      </c>
      <c r="I135" s="264" t="str">
        <f t="shared" si="56"/>
        <v/>
      </c>
      <c r="J135" s="265">
        <f>'4b. Stationary Comb. Factors'!$K$30</f>
        <v>6.6137566137566134E-3</v>
      </c>
      <c r="K135" s="266" t="str">
        <f t="shared" si="57"/>
        <v/>
      </c>
      <c r="L135" s="266" t="str">
        <f t="shared" si="58"/>
        <v/>
      </c>
      <c r="M135" s="267">
        <f>'4b. Stationary Comb. Factors'!$K$41</f>
        <v>1.3227513227513227E-3</v>
      </c>
      <c r="N135" s="268" t="str">
        <f t="shared" si="59"/>
        <v/>
      </c>
      <c r="O135" s="269" t="str">
        <f t="shared" si="60"/>
        <v/>
      </c>
      <c r="P135" s="270" t="str">
        <f t="shared" si="61"/>
        <v/>
      </c>
      <c r="Q135" s="292"/>
      <c r="R135" s="292"/>
      <c r="S135" s="292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</row>
    <row r="136" spans="1:42" s="239" customFormat="1" ht="18" customHeight="1" x14ac:dyDescent="0.15">
      <c r="A136" s="637"/>
      <c r="B136" s="51"/>
      <c r="C136" s="261" t="s">
        <v>52</v>
      </c>
      <c r="D136" s="240" t="s">
        <v>638</v>
      </c>
      <c r="E136" s="52"/>
      <c r="F136" s="455">
        <f>'4b. Stationary Comb. Factors'!$C$13/42</f>
        <v>0.14969047619047618</v>
      </c>
      <c r="G136" s="262" t="str">
        <f t="shared" si="62"/>
        <v/>
      </c>
      <c r="H136" s="272">
        <f>78.8*2.2</f>
        <v>173.36</v>
      </c>
      <c r="I136" s="264" t="str">
        <f t="shared" si="56"/>
        <v/>
      </c>
      <c r="J136" s="265">
        <f>'4b. Stationary Comb. Factors'!$K$30</f>
        <v>6.6137566137566134E-3</v>
      </c>
      <c r="K136" s="266" t="str">
        <f t="shared" si="57"/>
        <v/>
      </c>
      <c r="L136" s="266" t="str">
        <f t="shared" si="58"/>
        <v/>
      </c>
      <c r="M136" s="267">
        <f>'4b. Stationary Comb. Factors'!$K$41</f>
        <v>1.3227513227513227E-3</v>
      </c>
      <c r="N136" s="268" t="str">
        <f t="shared" si="59"/>
        <v/>
      </c>
      <c r="O136" s="269" t="str">
        <f t="shared" si="60"/>
        <v/>
      </c>
      <c r="P136" s="270" t="str">
        <f t="shared" si="61"/>
        <v/>
      </c>
      <c r="Q136" s="292"/>
      <c r="R136" s="292"/>
      <c r="S136" s="292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</row>
    <row r="137" spans="1:42" s="239" customFormat="1" ht="18" customHeight="1" x14ac:dyDescent="0.15">
      <c r="A137" s="637"/>
      <c r="B137" s="51"/>
      <c r="C137" s="261"/>
      <c r="D137" s="240"/>
      <c r="E137" s="52"/>
      <c r="F137" s="449"/>
      <c r="G137" s="262"/>
      <c r="H137" s="275"/>
      <c r="I137" s="264" t="str">
        <f t="shared" si="56"/>
        <v/>
      </c>
      <c r="J137" s="265"/>
      <c r="K137" s="266" t="str">
        <f t="shared" si="57"/>
        <v/>
      </c>
      <c r="L137" s="266" t="str">
        <f t="shared" si="58"/>
        <v/>
      </c>
      <c r="M137" s="267"/>
      <c r="N137" s="268" t="str">
        <f t="shared" si="59"/>
        <v/>
      </c>
      <c r="O137" s="269" t="str">
        <f t="shared" si="60"/>
        <v/>
      </c>
      <c r="P137" s="270" t="str">
        <f t="shared" si="61"/>
        <v/>
      </c>
      <c r="Q137" s="292"/>
      <c r="R137" s="292"/>
      <c r="S137" s="292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</row>
    <row r="138" spans="1:42" s="239" customFormat="1" ht="18" customHeight="1" x14ac:dyDescent="0.15">
      <c r="A138" s="637"/>
      <c r="B138" s="51"/>
      <c r="C138" s="261"/>
      <c r="D138" s="240"/>
      <c r="E138" s="52"/>
      <c r="F138" s="449"/>
      <c r="G138" s="262"/>
      <c r="H138" s="275"/>
      <c r="I138" s="264" t="str">
        <f t="shared" si="56"/>
        <v/>
      </c>
      <c r="J138" s="265"/>
      <c r="K138" s="266" t="str">
        <f t="shared" si="57"/>
        <v/>
      </c>
      <c r="L138" s="266" t="str">
        <f t="shared" si="58"/>
        <v/>
      </c>
      <c r="M138" s="267"/>
      <c r="N138" s="268" t="str">
        <f t="shared" si="59"/>
        <v/>
      </c>
      <c r="O138" s="269" t="str">
        <f t="shared" si="60"/>
        <v/>
      </c>
      <c r="P138" s="407" t="str">
        <f t="shared" si="61"/>
        <v/>
      </c>
      <c r="Q138" s="292"/>
      <c r="R138" s="292"/>
      <c r="S138" s="292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</row>
    <row r="139" spans="1:42" s="239" customFormat="1" ht="18" customHeight="1" x14ac:dyDescent="0.15">
      <c r="A139" s="637"/>
      <c r="B139" s="51"/>
      <c r="C139" s="261"/>
      <c r="D139" s="240"/>
      <c r="E139" s="52"/>
      <c r="F139" s="449"/>
      <c r="G139" s="262"/>
      <c r="H139" s="275"/>
      <c r="I139" s="264" t="str">
        <f t="shared" si="56"/>
        <v/>
      </c>
      <c r="J139" s="265"/>
      <c r="K139" s="266" t="str">
        <f t="shared" si="57"/>
        <v/>
      </c>
      <c r="L139" s="266" t="str">
        <f t="shared" si="58"/>
        <v/>
      </c>
      <c r="M139" s="267"/>
      <c r="N139" s="268" t="str">
        <f t="shared" si="59"/>
        <v/>
      </c>
      <c r="O139" s="269"/>
      <c r="P139" s="407" t="str">
        <f t="shared" si="61"/>
        <v/>
      </c>
      <c r="Q139" s="292"/>
      <c r="R139" s="292"/>
      <c r="S139" s="292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</row>
    <row r="140" spans="1:42" s="278" customFormat="1" ht="22.5" customHeight="1" thickBot="1" x14ac:dyDescent="0.2">
      <c r="A140" s="638"/>
      <c r="B140" s="641" t="s">
        <v>388</v>
      </c>
      <c r="C140" s="645"/>
      <c r="D140" s="645"/>
      <c r="E140" s="645"/>
      <c r="F140" s="645"/>
      <c r="G140" s="645"/>
      <c r="H140" s="645"/>
      <c r="I140" s="645"/>
      <c r="J140" s="645"/>
      <c r="K140" s="645"/>
      <c r="L140" s="645"/>
      <c r="M140" s="645"/>
      <c r="N140" s="645"/>
      <c r="O140" s="646"/>
      <c r="P140" s="276">
        <f>SUM(P128:P139)</f>
        <v>0</v>
      </c>
      <c r="Q140" s="292"/>
      <c r="R140" s="292"/>
      <c r="S140" s="292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</row>
    <row r="141" spans="1:42" s="239" customFormat="1" ht="18" customHeight="1" thickTop="1" thickBot="1" x14ac:dyDescent="0.2">
      <c r="A141" s="636">
        <f>'1. Facility'!B17</f>
        <v>10</v>
      </c>
      <c r="B141" s="49"/>
      <c r="C141" s="251" t="s">
        <v>84</v>
      </c>
      <c r="D141" s="252" t="s">
        <v>637</v>
      </c>
      <c r="E141" s="50"/>
      <c r="F141" s="454">
        <f>'4b. Stationary Comb. Factors'!$C$22/1000000</f>
        <v>1.026E-3</v>
      </c>
      <c r="G141" s="253" t="str">
        <f>IF(E141&gt;0, E141*F141, "")</f>
        <v/>
      </c>
      <c r="H141" s="254">
        <f>'4b. Stationary Comb. Factors'!$K$22</f>
        <v>116.99730000000001</v>
      </c>
      <c r="I141" s="255" t="str">
        <f t="shared" ref="I141:I152" si="63">IF(E141&gt;0, G141*H141/2000, "")</f>
        <v/>
      </c>
      <c r="J141" s="256">
        <f>'4b. Stationary Comb. Factors'!$K$32</f>
        <v>2.2045855379188711E-3</v>
      </c>
      <c r="K141" s="257" t="str">
        <f t="shared" ref="K141:K152" si="64">IF(E141&gt;0, G141*J141/2000, "")</f>
        <v/>
      </c>
      <c r="L141" s="257" t="str">
        <f t="shared" ref="L141:L152" si="65">IF(E141&gt;0, $I$9*K141,"")</f>
        <v/>
      </c>
      <c r="M141" s="258">
        <f>'4b. Stationary Comb. Factors'!$K$43</f>
        <v>2.2045855379188711E-4</v>
      </c>
      <c r="N141" s="259" t="str">
        <f t="shared" ref="N141:N152" si="66">IF(E141&gt;0, M141*G141/2000,"")</f>
        <v/>
      </c>
      <c r="O141" s="260" t="str">
        <f t="shared" ref="O141:O151" si="67">IF(E141&gt;0, $I$10*N141, "")</f>
        <v/>
      </c>
      <c r="P141" s="406" t="str">
        <f t="shared" ref="P141:P152" si="68">IF(E141&gt;0, I141+L141+O141, "")</f>
        <v/>
      </c>
      <c r="Q141" s="291"/>
      <c r="R141" s="291"/>
      <c r="S141" s="291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</row>
    <row r="142" spans="1:42" s="239" customFormat="1" ht="18" customHeight="1" thickTop="1" thickBot="1" x14ac:dyDescent="0.2">
      <c r="A142" s="637"/>
      <c r="B142" s="51"/>
      <c r="C142" s="261" t="s">
        <v>84</v>
      </c>
      <c r="D142" s="240" t="s">
        <v>637</v>
      </c>
      <c r="E142" s="52"/>
      <c r="F142" s="454">
        <f>'4b. Stationary Comb. Factors'!$C$22/1000000</f>
        <v>1.026E-3</v>
      </c>
      <c r="G142" s="262" t="str">
        <f>IF(E142&gt;0, E142*F142, "")</f>
        <v/>
      </c>
      <c r="H142" s="263">
        <f>'4b. Stationary Comb. Factors'!$K$22</f>
        <v>116.99730000000001</v>
      </c>
      <c r="I142" s="264" t="str">
        <f t="shared" si="63"/>
        <v/>
      </c>
      <c r="J142" s="265">
        <f>'4b. Stationary Comb. Factors'!$K$32</f>
        <v>2.2045855379188711E-3</v>
      </c>
      <c r="K142" s="266" t="str">
        <f t="shared" si="64"/>
        <v/>
      </c>
      <c r="L142" s="266" t="str">
        <f t="shared" si="65"/>
        <v/>
      </c>
      <c r="M142" s="267">
        <f>'4b. Stationary Comb. Factors'!$K$43</f>
        <v>2.2045855379188711E-4</v>
      </c>
      <c r="N142" s="268" t="str">
        <f t="shared" si="66"/>
        <v/>
      </c>
      <c r="O142" s="269" t="str">
        <f t="shared" si="67"/>
        <v/>
      </c>
      <c r="P142" s="135" t="str">
        <f t="shared" si="68"/>
        <v/>
      </c>
      <c r="Q142" s="292"/>
      <c r="R142" s="292"/>
      <c r="S142" s="292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</row>
    <row r="143" spans="1:42" s="239" customFormat="1" ht="18" customHeight="1" thickTop="1" x14ac:dyDescent="0.15">
      <c r="A143" s="637"/>
      <c r="B143" s="51"/>
      <c r="C143" s="261" t="s">
        <v>84</v>
      </c>
      <c r="D143" s="240" t="s">
        <v>638</v>
      </c>
      <c r="E143" s="52"/>
      <c r="F143" s="454">
        <f>'4b. Stationary Comb. Factors'!$C$22/1000000</f>
        <v>1.026E-3</v>
      </c>
      <c r="G143" s="262" t="str">
        <f t="shared" ref="G143:G149" si="69">IF(E143&gt;0, E143*F143, "")</f>
        <v/>
      </c>
      <c r="H143" s="271">
        <f>'4b. Stationary Comb. Factors'!$K$22</f>
        <v>116.99730000000001</v>
      </c>
      <c r="I143" s="264" t="str">
        <f t="shared" si="63"/>
        <v/>
      </c>
      <c r="J143" s="265">
        <f>'4b. Stationary Comb. Factors'!$K$32</f>
        <v>2.2045855379188711E-3</v>
      </c>
      <c r="K143" s="266" t="str">
        <f t="shared" si="64"/>
        <v/>
      </c>
      <c r="L143" s="266" t="str">
        <f t="shared" si="65"/>
        <v/>
      </c>
      <c r="M143" s="267">
        <f>'4b. Stationary Comb. Factors'!$K$43</f>
        <v>2.2045855379188711E-4</v>
      </c>
      <c r="N143" s="268" t="str">
        <f t="shared" si="66"/>
        <v/>
      </c>
      <c r="O143" s="269" t="str">
        <f t="shared" si="67"/>
        <v/>
      </c>
      <c r="P143" s="270" t="str">
        <f t="shared" si="68"/>
        <v/>
      </c>
      <c r="Q143" s="292"/>
      <c r="R143" s="292"/>
      <c r="S143" s="292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</row>
    <row r="144" spans="1:42" s="239" customFormat="1" ht="18" customHeight="1" x14ac:dyDescent="0.15">
      <c r="A144" s="637"/>
      <c r="B144" s="51"/>
      <c r="C144" s="261" t="s">
        <v>51</v>
      </c>
      <c r="D144" s="240" t="s">
        <v>638</v>
      </c>
      <c r="E144" s="52"/>
      <c r="F144" s="455">
        <f>'4b. Stationary Comb. Factors'!$C$17/42</f>
        <v>9.1047619047619044E-2</v>
      </c>
      <c r="G144" s="262" t="str">
        <f t="shared" si="69"/>
        <v/>
      </c>
      <c r="H144" s="272">
        <f>'4b. Stationary Comb. Factors'!$K$17</f>
        <v>138.62835000000001</v>
      </c>
      <c r="I144" s="264" t="str">
        <f t="shared" si="63"/>
        <v/>
      </c>
      <c r="J144" s="265">
        <f>'4b. Stationary Comb. Factors'!$K$32</f>
        <v>2.2045855379188711E-3</v>
      </c>
      <c r="K144" s="266" t="str">
        <f t="shared" si="64"/>
        <v/>
      </c>
      <c r="L144" s="266" t="str">
        <f t="shared" si="65"/>
        <v/>
      </c>
      <c r="M144" s="267">
        <f>'4b. Stationary Comb. Factors'!$K$43</f>
        <v>2.2045855379188711E-4</v>
      </c>
      <c r="N144" s="268" t="str">
        <f t="shared" si="66"/>
        <v/>
      </c>
      <c r="O144" s="269" t="str">
        <f t="shared" si="67"/>
        <v/>
      </c>
      <c r="P144" s="270" t="str">
        <f t="shared" si="68"/>
        <v/>
      </c>
      <c r="Q144" s="292"/>
      <c r="R144" s="292"/>
      <c r="S144" s="292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</row>
    <row r="145" spans="1:42" s="239" customFormat="1" ht="18" customHeight="1" x14ac:dyDescent="0.15">
      <c r="A145" s="637"/>
      <c r="B145" s="51"/>
      <c r="C145" s="261" t="s">
        <v>51</v>
      </c>
      <c r="D145" s="240" t="s">
        <v>638</v>
      </c>
      <c r="E145" s="52"/>
      <c r="F145" s="455">
        <f>'4b. Stationary Comb. Factors'!$C$17/42</f>
        <v>9.1047619047619044E-2</v>
      </c>
      <c r="G145" s="262" t="str">
        <f t="shared" si="69"/>
        <v/>
      </c>
      <c r="H145" s="272">
        <f>'4b. Stationary Comb. Factors'!$K$17</f>
        <v>138.62835000000001</v>
      </c>
      <c r="I145" s="264" t="str">
        <f t="shared" si="63"/>
        <v/>
      </c>
      <c r="J145" s="273">
        <f>'4b. Stationary Comb. Factors'!$K$32</f>
        <v>2.2045855379188711E-3</v>
      </c>
      <c r="K145" s="266" t="str">
        <f t="shared" si="64"/>
        <v/>
      </c>
      <c r="L145" s="266" t="str">
        <f t="shared" si="65"/>
        <v/>
      </c>
      <c r="M145" s="274">
        <f>'4b. Stationary Comb. Factors'!$K$43</f>
        <v>2.2045855379188711E-4</v>
      </c>
      <c r="N145" s="268" t="str">
        <f t="shared" si="66"/>
        <v/>
      </c>
      <c r="O145" s="269" t="str">
        <f t="shared" si="67"/>
        <v/>
      </c>
      <c r="P145" s="270" t="str">
        <f t="shared" si="68"/>
        <v/>
      </c>
      <c r="Q145" s="292"/>
      <c r="R145" s="292"/>
      <c r="S145" s="292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</row>
    <row r="146" spans="1:42" s="239" customFormat="1" ht="18" customHeight="1" x14ac:dyDescent="0.15">
      <c r="A146" s="637"/>
      <c r="B146" s="51"/>
      <c r="C146" s="261" t="s">
        <v>489</v>
      </c>
      <c r="D146" s="240" t="s">
        <v>638</v>
      </c>
      <c r="E146" s="52"/>
      <c r="F146" s="455">
        <f>'4b. Stationary Comb. Factors'!$C$14/42</f>
        <v>0.1386904761904762</v>
      </c>
      <c r="G146" s="262" t="str">
        <f t="shared" si="69"/>
        <v/>
      </c>
      <c r="H146" s="272">
        <f>'4b. Stationary Comb. Factors'!$K$14</f>
        <v>163.08179999999999</v>
      </c>
      <c r="I146" s="264" t="str">
        <f t="shared" si="63"/>
        <v/>
      </c>
      <c r="J146" s="265">
        <f>'4b. Stationary Comb. Factors'!$K$30</f>
        <v>6.6137566137566134E-3</v>
      </c>
      <c r="K146" s="266" t="str">
        <f t="shared" si="64"/>
        <v/>
      </c>
      <c r="L146" s="266" t="str">
        <f t="shared" si="65"/>
        <v/>
      </c>
      <c r="M146" s="267">
        <f>'4b. Stationary Comb. Factors'!$K$41</f>
        <v>1.3227513227513227E-3</v>
      </c>
      <c r="N146" s="268" t="str">
        <f t="shared" si="66"/>
        <v/>
      </c>
      <c r="O146" s="269" t="str">
        <f t="shared" si="67"/>
        <v/>
      </c>
      <c r="P146" s="270" t="str">
        <f t="shared" si="68"/>
        <v/>
      </c>
      <c r="Q146" s="292"/>
      <c r="R146" s="292"/>
      <c r="S146" s="292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</row>
    <row r="147" spans="1:42" s="239" customFormat="1" ht="18" customHeight="1" x14ac:dyDescent="0.15">
      <c r="A147" s="637"/>
      <c r="B147" s="51"/>
      <c r="C147" s="261" t="s">
        <v>489</v>
      </c>
      <c r="D147" s="240" t="s">
        <v>638</v>
      </c>
      <c r="E147" s="52"/>
      <c r="F147" s="455">
        <f>'4b. Stationary Comb. Factors'!$C$14/42</f>
        <v>0.1386904761904762</v>
      </c>
      <c r="G147" s="262" t="str">
        <f t="shared" si="69"/>
        <v/>
      </c>
      <c r="H147" s="272">
        <f>'4b. Stationary Comb. Factors'!$K$14</f>
        <v>163.08179999999999</v>
      </c>
      <c r="I147" s="264" t="str">
        <f t="shared" si="63"/>
        <v/>
      </c>
      <c r="J147" s="265">
        <f>'4b. Stationary Comb. Factors'!$K$30</f>
        <v>6.6137566137566134E-3</v>
      </c>
      <c r="K147" s="266" t="str">
        <f t="shared" si="64"/>
        <v/>
      </c>
      <c r="L147" s="266" t="str">
        <f t="shared" si="65"/>
        <v/>
      </c>
      <c r="M147" s="267">
        <f>'4b. Stationary Comb. Factors'!$K$41</f>
        <v>1.3227513227513227E-3</v>
      </c>
      <c r="N147" s="268" t="str">
        <f t="shared" si="66"/>
        <v/>
      </c>
      <c r="O147" s="269" t="str">
        <f t="shared" si="67"/>
        <v/>
      </c>
      <c r="P147" s="270" t="str">
        <f t="shared" si="68"/>
        <v/>
      </c>
      <c r="Q147" s="292"/>
      <c r="R147" s="292"/>
      <c r="S147" s="292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</row>
    <row r="148" spans="1:42" s="239" customFormat="1" ht="18" customHeight="1" x14ac:dyDescent="0.15">
      <c r="A148" s="637"/>
      <c r="B148" s="51"/>
      <c r="C148" s="261" t="s">
        <v>52</v>
      </c>
      <c r="D148" s="240" t="s">
        <v>638</v>
      </c>
      <c r="E148" s="52"/>
      <c r="F148" s="455">
        <f>'4b. Stationary Comb. Factors'!$C$13/42</f>
        <v>0.14969047619047618</v>
      </c>
      <c r="G148" s="262" t="str">
        <f t="shared" si="69"/>
        <v/>
      </c>
      <c r="H148" s="272">
        <f>'4b. Stationary Comb. Factors'!$K$13</f>
        <v>165.59549999999999</v>
      </c>
      <c r="I148" s="264" t="str">
        <f t="shared" si="63"/>
        <v/>
      </c>
      <c r="J148" s="265">
        <f>'4b. Stationary Comb. Factors'!$K$30</f>
        <v>6.6137566137566134E-3</v>
      </c>
      <c r="K148" s="266" t="str">
        <f t="shared" si="64"/>
        <v/>
      </c>
      <c r="L148" s="266" t="str">
        <f t="shared" si="65"/>
        <v/>
      </c>
      <c r="M148" s="267">
        <f>'4b. Stationary Comb. Factors'!$K$41</f>
        <v>1.3227513227513227E-3</v>
      </c>
      <c r="N148" s="268" t="str">
        <f t="shared" si="66"/>
        <v/>
      </c>
      <c r="O148" s="269" t="str">
        <f t="shared" si="67"/>
        <v/>
      </c>
      <c r="P148" s="270" t="str">
        <f t="shared" si="68"/>
        <v/>
      </c>
      <c r="Q148" s="292"/>
      <c r="R148" s="292"/>
      <c r="S148" s="292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</row>
    <row r="149" spans="1:42" s="239" customFormat="1" ht="18" customHeight="1" x14ac:dyDescent="0.15">
      <c r="A149" s="637"/>
      <c r="B149" s="51"/>
      <c r="C149" s="261" t="s">
        <v>52</v>
      </c>
      <c r="D149" s="240" t="s">
        <v>638</v>
      </c>
      <c r="E149" s="52"/>
      <c r="F149" s="455">
        <f>'4b. Stationary Comb. Factors'!$C$13/42</f>
        <v>0.14969047619047618</v>
      </c>
      <c r="G149" s="262" t="str">
        <f t="shared" si="69"/>
        <v/>
      </c>
      <c r="H149" s="272">
        <f>78.8*2.2</f>
        <v>173.36</v>
      </c>
      <c r="I149" s="264" t="str">
        <f t="shared" si="63"/>
        <v/>
      </c>
      <c r="J149" s="265">
        <f>'4b. Stationary Comb. Factors'!$K$30</f>
        <v>6.6137566137566134E-3</v>
      </c>
      <c r="K149" s="266" t="str">
        <f t="shared" si="64"/>
        <v/>
      </c>
      <c r="L149" s="266" t="str">
        <f t="shared" si="65"/>
        <v/>
      </c>
      <c r="M149" s="267">
        <f>'4b. Stationary Comb. Factors'!$K$41</f>
        <v>1.3227513227513227E-3</v>
      </c>
      <c r="N149" s="268" t="str">
        <f t="shared" si="66"/>
        <v/>
      </c>
      <c r="O149" s="269" t="str">
        <f t="shared" si="67"/>
        <v/>
      </c>
      <c r="P149" s="270" t="str">
        <f t="shared" si="68"/>
        <v/>
      </c>
      <c r="Q149" s="292"/>
      <c r="R149" s="292"/>
      <c r="S149" s="292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</row>
    <row r="150" spans="1:42" s="239" customFormat="1" ht="18" customHeight="1" x14ac:dyDescent="0.15">
      <c r="A150" s="637"/>
      <c r="B150" s="51"/>
      <c r="C150" s="261"/>
      <c r="D150" s="240"/>
      <c r="E150" s="52"/>
      <c r="F150" s="449"/>
      <c r="G150" s="262"/>
      <c r="H150" s="275"/>
      <c r="I150" s="264" t="str">
        <f t="shared" si="63"/>
        <v/>
      </c>
      <c r="J150" s="265"/>
      <c r="K150" s="266" t="str">
        <f t="shared" si="64"/>
        <v/>
      </c>
      <c r="L150" s="266" t="str">
        <f t="shared" si="65"/>
        <v/>
      </c>
      <c r="M150" s="267"/>
      <c r="N150" s="268" t="str">
        <f t="shared" si="66"/>
        <v/>
      </c>
      <c r="O150" s="269" t="str">
        <f t="shared" si="67"/>
        <v/>
      </c>
      <c r="P150" s="270" t="str">
        <f t="shared" si="68"/>
        <v/>
      </c>
      <c r="Q150" s="292"/>
      <c r="R150" s="292"/>
      <c r="S150" s="292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</row>
    <row r="151" spans="1:42" s="239" customFormat="1" ht="18" customHeight="1" x14ac:dyDescent="0.15">
      <c r="A151" s="637"/>
      <c r="B151" s="51"/>
      <c r="C151" s="261"/>
      <c r="D151" s="240"/>
      <c r="E151" s="52"/>
      <c r="F151" s="449"/>
      <c r="G151" s="262"/>
      <c r="H151" s="275"/>
      <c r="I151" s="264" t="str">
        <f t="shared" si="63"/>
        <v/>
      </c>
      <c r="J151" s="265"/>
      <c r="K151" s="266" t="str">
        <f t="shared" si="64"/>
        <v/>
      </c>
      <c r="L151" s="266" t="str">
        <f t="shared" si="65"/>
        <v/>
      </c>
      <c r="M151" s="267"/>
      <c r="N151" s="268" t="str">
        <f t="shared" si="66"/>
        <v/>
      </c>
      <c r="O151" s="269" t="str">
        <f t="shared" si="67"/>
        <v/>
      </c>
      <c r="P151" s="407" t="str">
        <f t="shared" si="68"/>
        <v/>
      </c>
      <c r="Q151" s="292"/>
      <c r="R151" s="292"/>
      <c r="S151" s="292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</row>
    <row r="152" spans="1:42" s="239" customFormat="1" ht="18" customHeight="1" x14ac:dyDescent="0.15">
      <c r="A152" s="637"/>
      <c r="B152" s="51"/>
      <c r="C152" s="261"/>
      <c r="D152" s="240"/>
      <c r="E152" s="52"/>
      <c r="F152" s="449"/>
      <c r="G152" s="262"/>
      <c r="H152" s="275"/>
      <c r="I152" s="264" t="str">
        <f t="shared" si="63"/>
        <v/>
      </c>
      <c r="J152" s="265"/>
      <c r="K152" s="266" t="str">
        <f t="shared" si="64"/>
        <v/>
      </c>
      <c r="L152" s="266" t="str">
        <f t="shared" si="65"/>
        <v/>
      </c>
      <c r="M152" s="267"/>
      <c r="N152" s="268" t="str">
        <f t="shared" si="66"/>
        <v/>
      </c>
      <c r="O152" s="269"/>
      <c r="P152" s="407" t="str">
        <f t="shared" si="68"/>
        <v/>
      </c>
      <c r="Q152" s="292"/>
      <c r="R152" s="292"/>
      <c r="S152" s="292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</row>
    <row r="153" spans="1:42" s="278" customFormat="1" ht="22.5" customHeight="1" thickBot="1" x14ac:dyDescent="0.2">
      <c r="A153" s="638"/>
      <c r="B153" s="641" t="s">
        <v>388</v>
      </c>
      <c r="C153" s="642"/>
      <c r="D153" s="642"/>
      <c r="E153" s="642"/>
      <c r="F153" s="642"/>
      <c r="G153" s="642"/>
      <c r="H153" s="642"/>
      <c r="I153" s="642"/>
      <c r="J153" s="642"/>
      <c r="K153" s="642"/>
      <c r="L153" s="642"/>
      <c r="M153" s="642"/>
      <c r="N153" s="642"/>
      <c r="O153" s="643"/>
      <c r="P153" s="279">
        <f>SUM(P141:P152)</f>
        <v>0</v>
      </c>
      <c r="Q153" s="290"/>
      <c r="R153" s="290"/>
      <c r="S153" s="290"/>
    </row>
    <row r="154" spans="1:42" s="278" customFormat="1" ht="18" customHeight="1" thickTop="1" x14ac:dyDescent="0.15">
      <c r="A154" s="280"/>
      <c r="B154" s="280"/>
      <c r="C154" s="281"/>
      <c r="D154" s="282"/>
      <c r="E154" s="283"/>
      <c r="F154" s="283"/>
      <c r="G154" s="283"/>
      <c r="H154" s="282"/>
      <c r="I154" s="283"/>
      <c r="J154" s="284"/>
      <c r="K154" s="285"/>
      <c r="L154" s="285"/>
      <c r="M154" s="286"/>
      <c r="N154" s="286"/>
      <c r="O154" s="282"/>
      <c r="P154" s="287"/>
    </row>
    <row r="155" spans="1:42" s="278" customFormat="1" ht="18" customHeight="1" x14ac:dyDescent="0.15">
      <c r="A155" s="280"/>
      <c r="B155" s="280"/>
      <c r="C155" s="281"/>
      <c r="D155" s="282"/>
      <c r="E155" s="283"/>
      <c r="F155" s="283"/>
      <c r="G155" s="283"/>
      <c r="H155" s="282"/>
      <c r="I155" s="283"/>
      <c r="J155" s="284"/>
      <c r="K155" s="285"/>
      <c r="L155" s="285"/>
      <c r="M155" s="286"/>
      <c r="N155" s="286"/>
      <c r="O155" s="282"/>
      <c r="P155" s="287"/>
    </row>
    <row r="156" spans="1:42" s="278" customFormat="1" ht="18" customHeight="1" x14ac:dyDescent="0.15">
      <c r="A156" s="280"/>
      <c r="B156" s="280"/>
      <c r="C156" s="281"/>
      <c r="D156" s="282"/>
      <c r="E156" s="283"/>
      <c r="F156" s="283"/>
      <c r="G156" s="283"/>
      <c r="H156" s="282"/>
      <c r="I156" s="283"/>
      <c r="J156" s="284"/>
      <c r="K156" s="285"/>
      <c r="L156" s="285"/>
      <c r="M156" s="286"/>
      <c r="N156" s="286"/>
      <c r="O156" s="282"/>
      <c r="P156" s="287"/>
    </row>
    <row r="157" spans="1:42" s="278" customFormat="1" ht="18" customHeight="1" x14ac:dyDescent="0.15">
      <c r="A157" s="280"/>
      <c r="B157" s="280"/>
      <c r="C157" s="281"/>
      <c r="D157" s="282"/>
      <c r="E157" s="283"/>
      <c r="F157" s="283"/>
      <c r="G157" s="283"/>
      <c r="H157" s="282"/>
      <c r="I157" s="283"/>
      <c r="J157" s="284"/>
      <c r="K157" s="285"/>
      <c r="L157" s="285"/>
      <c r="M157" s="286"/>
      <c r="N157" s="286"/>
      <c r="O157" s="282"/>
      <c r="P157" s="287"/>
    </row>
    <row r="158" spans="1:42" s="278" customFormat="1" ht="18" customHeight="1" x14ac:dyDescent="0.15">
      <c r="A158" s="280"/>
      <c r="B158" s="280"/>
      <c r="C158" s="281"/>
      <c r="D158" s="282"/>
      <c r="E158" s="283"/>
      <c r="F158" s="283"/>
      <c r="G158" s="283"/>
      <c r="H158" s="282"/>
      <c r="I158" s="283"/>
      <c r="J158" s="284"/>
      <c r="K158" s="285"/>
      <c r="L158" s="285"/>
      <c r="M158" s="286"/>
      <c r="N158" s="286"/>
      <c r="O158" s="282"/>
      <c r="P158" s="287"/>
    </row>
    <row r="159" spans="1:42" s="278" customFormat="1" ht="18" customHeight="1" x14ac:dyDescent="0.15">
      <c r="A159" s="280"/>
      <c r="B159" s="280"/>
      <c r="C159" s="281"/>
      <c r="D159" s="282"/>
      <c r="E159" s="283"/>
      <c r="F159" s="283"/>
      <c r="G159" s="283"/>
      <c r="H159" s="282"/>
      <c r="I159" s="283"/>
      <c r="J159" s="284"/>
      <c r="K159" s="285"/>
      <c r="L159" s="285"/>
      <c r="M159" s="286"/>
      <c r="N159" s="286"/>
      <c r="O159" s="282"/>
      <c r="P159" s="287"/>
    </row>
    <row r="160" spans="1:42" s="278" customFormat="1" ht="18" customHeight="1" x14ac:dyDescent="0.15">
      <c r="A160" s="280"/>
      <c r="B160" s="280"/>
      <c r="C160" s="281"/>
      <c r="D160" s="282"/>
      <c r="E160" s="283"/>
      <c r="F160" s="283"/>
      <c r="G160" s="283"/>
      <c r="H160" s="282"/>
      <c r="I160" s="283"/>
      <c r="J160" s="284"/>
      <c r="K160" s="285"/>
      <c r="L160" s="285"/>
      <c r="M160" s="286"/>
      <c r="N160" s="286"/>
      <c r="O160" s="282"/>
      <c r="P160" s="287"/>
    </row>
    <row r="161" spans="1:42" s="278" customFormat="1" ht="18" customHeight="1" x14ac:dyDescent="0.15">
      <c r="A161" s="280"/>
      <c r="B161" s="280"/>
      <c r="C161" s="281"/>
      <c r="D161" s="282"/>
      <c r="E161" s="283"/>
      <c r="F161" s="283"/>
      <c r="G161" s="283"/>
      <c r="H161" s="282"/>
      <c r="I161" s="283"/>
      <c r="J161" s="284"/>
      <c r="K161" s="285"/>
      <c r="L161" s="285"/>
      <c r="M161" s="286"/>
      <c r="N161" s="286"/>
      <c r="O161" s="282"/>
      <c r="P161" s="287"/>
    </row>
    <row r="162" spans="1:42" s="278" customFormat="1" ht="18" customHeight="1" x14ac:dyDescent="0.15">
      <c r="A162" s="280"/>
      <c r="B162" s="280"/>
      <c r="C162" s="281"/>
      <c r="D162" s="282"/>
      <c r="E162" s="283"/>
      <c r="F162" s="283"/>
      <c r="G162" s="283"/>
      <c r="H162" s="282"/>
      <c r="I162" s="283"/>
      <c r="J162" s="284"/>
      <c r="K162" s="285"/>
      <c r="L162" s="285"/>
      <c r="M162" s="286"/>
      <c r="N162" s="286"/>
      <c r="O162" s="282"/>
      <c r="P162" s="287"/>
    </row>
    <row r="163" spans="1:42" s="278" customFormat="1" ht="18" customHeight="1" x14ac:dyDescent="0.15">
      <c r="A163" s="280"/>
      <c r="B163" s="280"/>
      <c r="C163" s="281"/>
      <c r="D163" s="282"/>
      <c r="E163" s="283"/>
      <c r="F163" s="283"/>
      <c r="G163" s="283"/>
      <c r="H163" s="285"/>
      <c r="I163" s="283"/>
      <c r="J163" s="284"/>
      <c r="K163" s="285"/>
      <c r="L163" s="285"/>
      <c r="M163" s="286"/>
      <c r="N163" s="286"/>
      <c r="O163" s="282"/>
      <c r="P163" s="287"/>
    </row>
    <row r="164" spans="1:42" s="278" customFormat="1" ht="18" customHeight="1" x14ac:dyDescent="0.15">
      <c r="A164" s="280"/>
      <c r="B164" s="280"/>
      <c r="C164" s="281"/>
      <c r="D164" s="282"/>
      <c r="E164" s="283"/>
      <c r="F164" s="283"/>
      <c r="G164" s="283"/>
      <c r="H164" s="285"/>
      <c r="I164" s="283"/>
      <c r="J164" s="284"/>
      <c r="K164" s="285"/>
      <c r="L164" s="285"/>
      <c r="M164" s="286"/>
      <c r="N164" s="286"/>
      <c r="O164" s="282"/>
      <c r="P164" s="287"/>
    </row>
    <row r="165" spans="1:42" s="278" customFormat="1" ht="18" customHeight="1" x14ac:dyDescent="0.15">
      <c r="A165" s="280"/>
      <c r="B165" s="280"/>
      <c r="C165" s="281"/>
      <c r="D165" s="282"/>
      <c r="E165" s="283"/>
      <c r="F165" s="283"/>
      <c r="G165" s="283"/>
      <c r="H165" s="285"/>
      <c r="I165" s="283"/>
      <c r="J165" s="284"/>
      <c r="K165" s="285"/>
      <c r="L165" s="285"/>
      <c r="M165" s="286"/>
      <c r="N165" s="286"/>
      <c r="O165" s="282"/>
      <c r="P165" s="287"/>
    </row>
    <row r="166" spans="1:42" x14ac:dyDescent="0.15"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</row>
  </sheetData>
  <mergeCells count="50">
    <mergeCell ref="A37:A49"/>
    <mergeCell ref="E20:G20"/>
    <mergeCell ref="J20:K20"/>
    <mergeCell ref="L9:Q9"/>
    <mergeCell ref="L17:Q17"/>
    <mergeCell ref="H12:I12"/>
    <mergeCell ref="L10:Q10"/>
    <mergeCell ref="L11:Q11"/>
    <mergeCell ref="L12:Q12"/>
    <mergeCell ref="L16:Q16"/>
    <mergeCell ref="L14:Q14"/>
    <mergeCell ref="L15:Q15"/>
    <mergeCell ref="L13:Q13"/>
    <mergeCell ref="A22:A23"/>
    <mergeCell ref="A24:A36"/>
    <mergeCell ref="M20:N20"/>
    <mergeCell ref="J1:S1"/>
    <mergeCell ref="A2:D2"/>
    <mergeCell ref="A3:D3"/>
    <mergeCell ref="L7:Q7"/>
    <mergeCell ref="L8:Q8"/>
    <mergeCell ref="H6:I6"/>
    <mergeCell ref="A1:H1"/>
    <mergeCell ref="A4:E4"/>
    <mergeCell ref="E8:F14"/>
    <mergeCell ref="A5:C5"/>
    <mergeCell ref="Q20:S20"/>
    <mergeCell ref="D19:E19"/>
    <mergeCell ref="B153:O153"/>
    <mergeCell ref="C6:D6"/>
    <mergeCell ref="K6:Q6"/>
    <mergeCell ref="B101:O101"/>
    <mergeCell ref="B114:O114"/>
    <mergeCell ref="B127:O127"/>
    <mergeCell ref="B140:O140"/>
    <mergeCell ref="B49:O49"/>
    <mergeCell ref="B62:O62"/>
    <mergeCell ref="B75:O75"/>
    <mergeCell ref="B88:O88"/>
    <mergeCell ref="B36:O36"/>
    <mergeCell ref="C22:C23"/>
    <mergeCell ref="B22:B23"/>
    <mergeCell ref="A102:A114"/>
    <mergeCell ref="A115:A127"/>
    <mergeCell ref="A128:A140"/>
    <mergeCell ref="A141:A153"/>
    <mergeCell ref="A50:A62"/>
    <mergeCell ref="A63:A75"/>
    <mergeCell ref="A76:A88"/>
    <mergeCell ref="A89:A101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97"/>
  <sheetViews>
    <sheetView topLeftCell="A5" workbookViewId="0">
      <selection activeCell="C22" sqref="C22"/>
    </sheetView>
  </sheetViews>
  <sheetFormatPr baseColWidth="10" defaultColWidth="8.83203125" defaultRowHeight="13" x14ac:dyDescent="0.15"/>
  <cols>
    <col min="1" max="1" width="9.1640625" style="27" customWidth="1"/>
    <col min="2" max="2" width="33.5" customWidth="1"/>
    <col min="3" max="3" width="18.1640625" customWidth="1"/>
    <col min="4" max="4" width="14.5" customWidth="1"/>
    <col min="5" max="5" width="14.33203125" customWidth="1"/>
    <col min="6" max="6" width="16.1640625" customWidth="1"/>
    <col min="7" max="7" width="12.5" customWidth="1"/>
    <col min="8" max="8" width="9.1640625" style="27" customWidth="1"/>
    <col min="10" max="10" width="9.1640625" style="73" customWidth="1"/>
    <col min="11" max="11" width="11.5" customWidth="1"/>
    <col min="12" max="12" width="44.83203125" customWidth="1"/>
    <col min="14" max="32" width="9.1640625" style="27" customWidth="1"/>
  </cols>
  <sheetData>
    <row r="1" spans="1:32" s="27" customFormat="1" ht="16" x14ac:dyDescent="0.2">
      <c r="A1" s="458" t="s">
        <v>688</v>
      </c>
      <c r="F1" s="468" t="s">
        <v>690</v>
      </c>
      <c r="J1" s="73"/>
    </row>
    <row r="2" spans="1:32" s="27" customFormat="1" ht="16" x14ac:dyDescent="0.2">
      <c r="A2" s="458" t="s">
        <v>763</v>
      </c>
      <c r="J2" s="73"/>
    </row>
    <row r="3" spans="1:32" s="27" customFormat="1" ht="16" x14ac:dyDescent="0.2">
      <c r="A3" s="458" t="s">
        <v>765</v>
      </c>
      <c r="E3" s="419"/>
      <c r="J3" s="73"/>
    </row>
    <row r="4" spans="1:32" s="27" customFormat="1" x14ac:dyDescent="0.15">
      <c r="A4" s="480" t="s">
        <v>764</v>
      </c>
      <c r="E4" s="419"/>
      <c r="J4" s="73"/>
    </row>
    <row r="5" spans="1:32" s="27" customFormat="1" x14ac:dyDescent="0.15">
      <c r="J5" s="73"/>
    </row>
    <row r="6" spans="1:32" ht="16" x14ac:dyDescent="0.2">
      <c r="B6" s="678" t="s">
        <v>766</v>
      </c>
      <c r="C6" s="678"/>
      <c r="D6" s="678"/>
      <c r="E6" s="678"/>
      <c r="F6" s="678"/>
      <c r="G6" s="678"/>
      <c r="I6" s="671" t="s">
        <v>435</v>
      </c>
      <c r="K6" s="674" t="s">
        <v>642</v>
      </c>
      <c r="L6" s="669"/>
      <c r="M6" s="27"/>
    </row>
    <row r="7" spans="1:32" s="6" customFormat="1" ht="25.5" customHeight="1" x14ac:dyDescent="0.15">
      <c r="A7" s="33"/>
      <c r="B7" s="679" t="s">
        <v>80</v>
      </c>
      <c r="C7" s="40" t="s">
        <v>475</v>
      </c>
      <c r="D7" s="670" t="s">
        <v>480</v>
      </c>
      <c r="E7" s="670"/>
      <c r="F7" s="670"/>
      <c r="G7" s="670"/>
      <c r="H7" s="33"/>
      <c r="I7" s="672"/>
      <c r="J7" s="76"/>
      <c r="K7" s="675"/>
      <c r="L7" s="67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s="6" customFormat="1" ht="42" x14ac:dyDescent="0.15">
      <c r="A8" s="33"/>
      <c r="B8" s="680"/>
      <c r="C8" s="40" t="s">
        <v>472</v>
      </c>
      <c r="D8" s="35" t="s">
        <v>476</v>
      </c>
      <c r="E8" s="35" t="s">
        <v>478</v>
      </c>
      <c r="F8" s="35" t="s">
        <v>477</v>
      </c>
      <c r="G8" s="35" t="s">
        <v>479</v>
      </c>
      <c r="H8" s="33"/>
      <c r="I8" s="35" t="s">
        <v>478</v>
      </c>
      <c r="J8" s="76"/>
      <c r="K8" s="40" t="s">
        <v>478</v>
      </c>
      <c r="L8" s="35" t="s">
        <v>481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x14ac:dyDescent="0.15">
      <c r="B9" s="30" t="s">
        <v>466</v>
      </c>
      <c r="C9" s="66">
        <v>24.93</v>
      </c>
      <c r="D9" s="467">
        <v>93.28</v>
      </c>
      <c r="E9" s="65">
        <f>D9*2.205</f>
        <v>205.6824</v>
      </c>
      <c r="F9" s="467">
        <v>2325.4699999999998</v>
      </c>
      <c r="G9" s="58">
        <f>F9*2.205</f>
        <v>5127.6613499999994</v>
      </c>
      <c r="I9" s="214"/>
      <c r="K9" s="63">
        <f>IF(I9&gt;0, I9, E9)</f>
        <v>205.6824</v>
      </c>
      <c r="L9" s="30" t="s">
        <v>466</v>
      </c>
      <c r="M9" s="27"/>
    </row>
    <row r="10" spans="1:32" x14ac:dyDescent="0.15">
      <c r="B10" s="30" t="s">
        <v>467</v>
      </c>
      <c r="C10" s="66">
        <v>17.25</v>
      </c>
      <c r="D10" s="467">
        <v>97.17</v>
      </c>
      <c r="E10" s="65">
        <f t="shared" ref="E10:E22" si="0">D10*2.205</f>
        <v>214.25985</v>
      </c>
      <c r="F10" s="467">
        <v>1676.18</v>
      </c>
      <c r="G10" s="58">
        <f t="shared" ref="G10:G22" si="1">F10*2.205</f>
        <v>3695.9769000000001</v>
      </c>
      <c r="I10" s="214"/>
      <c r="K10" s="63">
        <f t="shared" ref="K10:K22" si="2">IF(I10&gt;0, I10, E10)</f>
        <v>214.25985</v>
      </c>
      <c r="L10" s="30" t="s">
        <v>467</v>
      </c>
      <c r="M10" s="27"/>
    </row>
    <row r="11" spans="1:32" x14ac:dyDescent="0.15">
      <c r="B11" s="30" t="s">
        <v>468</v>
      </c>
      <c r="C11" s="66">
        <v>24.8</v>
      </c>
      <c r="D11" s="66">
        <v>113.67</v>
      </c>
      <c r="E11" s="65">
        <f t="shared" si="0"/>
        <v>250.64235000000002</v>
      </c>
      <c r="F11" s="467">
        <v>2818.02</v>
      </c>
      <c r="G11" s="58">
        <f t="shared" si="1"/>
        <v>6213.7341000000006</v>
      </c>
      <c r="I11" s="214"/>
      <c r="K11" s="63">
        <f t="shared" si="2"/>
        <v>250.64235000000002</v>
      </c>
      <c r="L11" s="30" t="s">
        <v>468</v>
      </c>
      <c r="M11" s="27"/>
    </row>
    <row r="12" spans="1:32" s="1" customFormat="1" ht="28" x14ac:dyDescent="0.15">
      <c r="A12" s="4"/>
      <c r="B12" s="420"/>
      <c r="C12" s="421" t="s">
        <v>473</v>
      </c>
      <c r="D12" s="422" t="s">
        <v>476</v>
      </c>
      <c r="E12" s="424" t="s">
        <v>478</v>
      </c>
      <c r="F12" s="422" t="s">
        <v>493</v>
      </c>
      <c r="G12" s="425" t="s">
        <v>494</v>
      </c>
      <c r="H12" s="4"/>
      <c r="I12" s="311"/>
      <c r="J12" s="423"/>
      <c r="K12" s="424" t="s">
        <v>478</v>
      </c>
      <c r="L12" s="42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15">
      <c r="B13" s="30" t="s">
        <v>440</v>
      </c>
      <c r="C13" s="67">
        <v>6.2869999999999999</v>
      </c>
      <c r="D13" s="467">
        <v>75.099999999999994</v>
      </c>
      <c r="E13" s="65">
        <f t="shared" si="0"/>
        <v>165.59549999999999</v>
      </c>
      <c r="F13" s="467">
        <v>11.27</v>
      </c>
      <c r="G13" s="58">
        <f t="shared" si="1"/>
        <v>24.850349999999999</v>
      </c>
      <c r="I13" s="214"/>
      <c r="K13" s="63">
        <f t="shared" si="2"/>
        <v>165.59549999999999</v>
      </c>
      <c r="L13" s="30" t="s">
        <v>440</v>
      </c>
      <c r="M13" s="27"/>
    </row>
    <row r="14" spans="1:32" x14ac:dyDescent="0.15">
      <c r="B14" s="30" t="s">
        <v>691</v>
      </c>
      <c r="C14" s="67">
        <v>5.8250000000000002</v>
      </c>
      <c r="D14" s="467">
        <v>73.959999999999994</v>
      </c>
      <c r="E14" s="65">
        <f t="shared" si="0"/>
        <v>163.08179999999999</v>
      </c>
      <c r="F14" s="467">
        <v>10.35</v>
      </c>
      <c r="G14" s="58">
        <f t="shared" si="1"/>
        <v>22.821750000000002</v>
      </c>
      <c r="I14" s="214"/>
      <c r="K14" s="63">
        <f t="shared" si="2"/>
        <v>163.08179999999999</v>
      </c>
      <c r="L14" s="30" t="s">
        <v>470</v>
      </c>
      <c r="M14" s="27"/>
    </row>
    <row r="15" spans="1:32" x14ac:dyDescent="0.15">
      <c r="B15" s="30" t="s">
        <v>418</v>
      </c>
      <c r="C15" s="67">
        <v>5.67</v>
      </c>
      <c r="D15" s="467">
        <v>75.2</v>
      </c>
      <c r="E15" s="65">
        <f t="shared" si="0"/>
        <v>165.816</v>
      </c>
      <c r="F15" s="467">
        <v>10.53</v>
      </c>
      <c r="G15" s="58">
        <f t="shared" si="1"/>
        <v>23.21865</v>
      </c>
      <c r="I15" s="214"/>
      <c r="K15" s="63">
        <f t="shared" si="2"/>
        <v>165.816</v>
      </c>
      <c r="L15" s="30" t="s">
        <v>418</v>
      </c>
      <c r="M15" s="27"/>
    </row>
    <row r="16" spans="1:32" x14ac:dyDescent="0.15">
      <c r="B16" s="30" t="s">
        <v>471</v>
      </c>
      <c r="C16" s="67">
        <v>3.8490000000000002</v>
      </c>
      <c r="D16" s="467">
        <v>61.71</v>
      </c>
      <c r="E16" s="65">
        <f t="shared" si="0"/>
        <v>136.07055</v>
      </c>
      <c r="F16" s="467">
        <v>5.68</v>
      </c>
      <c r="G16" s="58">
        <f t="shared" si="1"/>
        <v>12.5244</v>
      </c>
      <c r="I16" s="214"/>
      <c r="K16" s="63">
        <f t="shared" si="2"/>
        <v>136.07055</v>
      </c>
      <c r="L16" s="30" t="s">
        <v>471</v>
      </c>
      <c r="M16" s="27"/>
    </row>
    <row r="17" spans="1:32" x14ac:dyDescent="0.15">
      <c r="B17" s="30" t="s">
        <v>51</v>
      </c>
      <c r="C17" s="67">
        <v>3.8239999999999998</v>
      </c>
      <c r="D17" s="66">
        <v>62.87</v>
      </c>
      <c r="E17" s="65">
        <f t="shared" si="0"/>
        <v>138.62835000000001</v>
      </c>
      <c r="F17" s="66">
        <v>5.72</v>
      </c>
      <c r="G17" s="58">
        <f t="shared" si="1"/>
        <v>12.6126</v>
      </c>
      <c r="I17" s="214"/>
      <c r="K17" s="63">
        <f t="shared" si="2"/>
        <v>138.62835000000001</v>
      </c>
      <c r="L17" s="30" t="s">
        <v>51</v>
      </c>
      <c r="M17" s="27"/>
    </row>
    <row r="18" spans="1:32" x14ac:dyDescent="0.15">
      <c r="B18" s="30" t="s">
        <v>416</v>
      </c>
      <c r="C18" s="67">
        <v>5.048</v>
      </c>
      <c r="D18" s="66">
        <v>69.19</v>
      </c>
      <c r="E18" s="65">
        <f t="shared" si="0"/>
        <v>152.56395000000001</v>
      </c>
      <c r="F18" s="66">
        <v>8.32</v>
      </c>
      <c r="G18" s="58">
        <f t="shared" si="1"/>
        <v>18.345600000000001</v>
      </c>
      <c r="I18" s="214"/>
      <c r="K18" s="63">
        <f t="shared" si="2"/>
        <v>152.56395000000001</v>
      </c>
      <c r="L18" s="30" t="s">
        <v>416</v>
      </c>
      <c r="M18" s="27"/>
    </row>
    <row r="19" spans="1:32" x14ac:dyDescent="0.15">
      <c r="B19" s="30" t="s">
        <v>441</v>
      </c>
      <c r="C19" s="67">
        <v>5.67</v>
      </c>
      <c r="D19" s="66">
        <v>70.88</v>
      </c>
      <c r="E19" s="65">
        <f t="shared" si="0"/>
        <v>156.29040000000001</v>
      </c>
      <c r="F19" s="66">
        <v>9.57</v>
      </c>
      <c r="G19" s="58">
        <f t="shared" si="1"/>
        <v>21.101850000000002</v>
      </c>
      <c r="I19" s="214"/>
      <c r="K19" s="63">
        <f t="shared" si="2"/>
        <v>156.29040000000001</v>
      </c>
      <c r="L19" s="30" t="s">
        <v>441</v>
      </c>
      <c r="M19" s="27"/>
    </row>
    <row r="20" spans="1:32" x14ac:dyDescent="0.15">
      <c r="B20" s="30" t="s">
        <v>415</v>
      </c>
      <c r="C20" s="66">
        <v>5.218</v>
      </c>
      <c r="D20" s="66">
        <v>70.88</v>
      </c>
      <c r="E20" s="65">
        <f t="shared" si="0"/>
        <v>156.29040000000001</v>
      </c>
      <c r="F20" s="66">
        <v>8.81</v>
      </c>
      <c r="G20" s="58">
        <f t="shared" si="1"/>
        <v>19.42605</v>
      </c>
      <c r="I20" s="214"/>
      <c r="K20" s="63">
        <f t="shared" si="2"/>
        <v>156.29040000000001</v>
      </c>
      <c r="L20" s="30" t="s">
        <v>415</v>
      </c>
      <c r="M20" s="27"/>
    </row>
    <row r="21" spans="1:32" s="1" customFormat="1" ht="27.75" customHeight="1" x14ac:dyDescent="0.15">
      <c r="A21" s="4"/>
      <c r="B21" s="420"/>
      <c r="C21" s="421" t="s">
        <v>474</v>
      </c>
      <c r="D21" s="422" t="s">
        <v>476</v>
      </c>
      <c r="E21" s="424" t="s">
        <v>478</v>
      </c>
      <c r="F21" s="422" t="s">
        <v>495</v>
      </c>
      <c r="G21" s="425" t="s">
        <v>496</v>
      </c>
      <c r="H21" s="4"/>
      <c r="I21" s="311"/>
      <c r="J21" s="423"/>
      <c r="K21" s="424" t="s">
        <v>478</v>
      </c>
      <c r="L21" s="42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15">
      <c r="B22" s="30" t="s">
        <v>469</v>
      </c>
      <c r="C22" s="469">
        <v>1026</v>
      </c>
      <c r="D22" s="66">
        <v>53.06</v>
      </c>
      <c r="E22" s="65">
        <f t="shared" si="0"/>
        <v>116.99730000000001</v>
      </c>
      <c r="F22" s="467">
        <v>0.05</v>
      </c>
      <c r="G22" s="58">
        <f t="shared" si="1"/>
        <v>0.11025000000000001</v>
      </c>
      <c r="I22" s="214"/>
      <c r="K22" s="63">
        <f t="shared" si="2"/>
        <v>116.99730000000001</v>
      </c>
      <c r="L22" s="30" t="s">
        <v>469</v>
      </c>
      <c r="M22" s="27"/>
    </row>
    <row r="23" spans="1:32" x14ac:dyDescent="0.15">
      <c r="B23" s="27"/>
      <c r="C23" s="27"/>
      <c r="D23" s="27"/>
      <c r="E23" s="27"/>
      <c r="F23" s="27"/>
      <c r="G23" s="27"/>
      <c r="I23" s="27"/>
      <c r="K23" s="27"/>
      <c r="L23" s="27"/>
      <c r="M23" s="27"/>
    </row>
    <row r="24" spans="1:32" x14ac:dyDescent="0.15">
      <c r="B24" s="27"/>
      <c r="C24" s="27"/>
      <c r="D24" s="27"/>
      <c r="E24" s="27"/>
      <c r="F24" s="27"/>
      <c r="G24" s="27"/>
      <c r="I24" s="27"/>
      <c r="K24" s="27"/>
      <c r="L24" s="27"/>
      <c r="M24" s="27"/>
    </row>
    <row r="25" spans="1:32" ht="42" x14ac:dyDescent="0.2">
      <c r="B25" s="27"/>
      <c r="C25" s="665" t="s">
        <v>640</v>
      </c>
      <c r="D25" s="666"/>
      <c r="E25" s="666"/>
      <c r="F25" s="666"/>
      <c r="G25" s="666"/>
      <c r="H25" s="56"/>
      <c r="I25" s="61" t="s">
        <v>435</v>
      </c>
      <c r="J25" s="74"/>
      <c r="K25" s="667" t="s">
        <v>643</v>
      </c>
      <c r="L25" s="668"/>
      <c r="M25" s="669"/>
    </row>
    <row r="26" spans="1:32" s="6" customFormat="1" ht="28" x14ac:dyDescent="0.15">
      <c r="A26" s="33"/>
      <c r="B26" s="33"/>
      <c r="C26" s="676" t="s">
        <v>437</v>
      </c>
      <c r="D26" s="677"/>
      <c r="E26" s="40" t="s">
        <v>498</v>
      </c>
      <c r="F26" s="40" t="s">
        <v>75</v>
      </c>
      <c r="G26" s="40" t="s">
        <v>500</v>
      </c>
      <c r="H26" s="41"/>
      <c r="I26" s="40" t="s">
        <v>443</v>
      </c>
      <c r="J26" s="74"/>
      <c r="K26" s="40" t="s">
        <v>500</v>
      </c>
      <c r="L26" s="681" t="s">
        <v>488</v>
      </c>
      <c r="M26" s="68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x14ac:dyDescent="0.15">
      <c r="B27" s="27"/>
      <c r="C27" s="663" t="s">
        <v>482</v>
      </c>
      <c r="D27" s="664"/>
      <c r="E27" s="496">
        <v>10</v>
      </c>
      <c r="F27" s="484" t="s">
        <v>751</v>
      </c>
      <c r="G27" s="62">
        <f t="shared" ref="G27:G32" si="3">E27/453.6</f>
        <v>2.2045855379188711E-2</v>
      </c>
      <c r="H27" s="56"/>
      <c r="I27" s="214"/>
      <c r="J27" s="75"/>
      <c r="K27" s="63">
        <f t="shared" ref="K27:K32" si="4">IF(I27&gt;0, I27, G27)</f>
        <v>2.2045855379188711E-2</v>
      </c>
      <c r="L27" s="663" t="s">
        <v>482</v>
      </c>
      <c r="M27" s="664"/>
    </row>
    <row r="28" spans="1:32" x14ac:dyDescent="0.15">
      <c r="B28" s="27"/>
      <c r="C28" s="663" t="s">
        <v>483</v>
      </c>
      <c r="D28" s="664"/>
      <c r="E28" s="496">
        <v>10</v>
      </c>
      <c r="F28" s="484" t="s">
        <v>751</v>
      </c>
      <c r="G28" s="62">
        <f t="shared" si="3"/>
        <v>2.2045855379188711E-2</v>
      </c>
      <c r="H28" s="56"/>
      <c r="I28" s="214"/>
      <c r="J28" s="75"/>
      <c r="K28" s="63">
        <f t="shared" si="4"/>
        <v>2.2045855379188711E-2</v>
      </c>
      <c r="L28" s="663" t="s">
        <v>483</v>
      </c>
      <c r="M28" s="664"/>
    </row>
    <row r="29" spans="1:32" x14ac:dyDescent="0.15">
      <c r="B29" s="27"/>
      <c r="C29" s="663" t="s">
        <v>487</v>
      </c>
      <c r="D29" s="664"/>
      <c r="E29" s="496">
        <v>10</v>
      </c>
      <c r="F29" s="484" t="s">
        <v>752</v>
      </c>
      <c r="G29" s="62">
        <f t="shared" si="3"/>
        <v>2.2045855379188711E-2</v>
      </c>
      <c r="H29" s="56"/>
      <c r="I29" s="214"/>
      <c r="J29" s="75"/>
      <c r="K29" s="63">
        <f t="shared" si="4"/>
        <v>2.2045855379188711E-2</v>
      </c>
      <c r="L29" s="663" t="s">
        <v>487</v>
      </c>
      <c r="M29" s="664"/>
    </row>
    <row r="30" spans="1:32" x14ac:dyDescent="0.15">
      <c r="B30" s="27"/>
      <c r="C30" s="70" t="s">
        <v>484</v>
      </c>
      <c r="D30" s="71"/>
      <c r="E30" s="497">
        <v>3</v>
      </c>
      <c r="F30" s="484" t="s">
        <v>751</v>
      </c>
      <c r="G30" s="62">
        <f t="shared" si="3"/>
        <v>6.6137566137566134E-3</v>
      </c>
      <c r="H30" s="56"/>
      <c r="I30" s="214"/>
      <c r="J30" s="75"/>
      <c r="K30" s="63">
        <f t="shared" si="4"/>
        <v>6.6137566137566134E-3</v>
      </c>
      <c r="L30" s="70" t="s">
        <v>484</v>
      </c>
      <c r="M30" s="71"/>
    </row>
    <row r="31" spans="1:32" s="6" customFormat="1" x14ac:dyDescent="0.15">
      <c r="A31" s="33"/>
      <c r="B31" s="33"/>
      <c r="C31" s="663" t="s">
        <v>485</v>
      </c>
      <c r="D31" s="664"/>
      <c r="E31" s="498">
        <v>4.7</v>
      </c>
      <c r="F31" s="484" t="s">
        <v>752</v>
      </c>
      <c r="G31" s="62">
        <f t="shared" si="3"/>
        <v>1.0361552028218694E-2</v>
      </c>
      <c r="H31" s="41"/>
      <c r="I31" s="215"/>
      <c r="J31" s="74"/>
      <c r="K31" s="64">
        <f t="shared" si="4"/>
        <v>1.0361552028218694E-2</v>
      </c>
      <c r="L31" s="663" t="s">
        <v>485</v>
      </c>
      <c r="M31" s="664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x14ac:dyDescent="0.15">
      <c r="B32" s="27"/>
      <c r="C32" s="663" t="s">
        <v>486</v>
      </c>
      <c r="D32" s="664"/>
      <c r="E32" s="497">
        <v>1</v>
      </c>
      <c r="F32" s="484" t="s">
        <v>751</v>
      </c>
      <c r="G32" s="62">
        <f t="shared" si="3"/>
        <v>2.2045855379188711E-3</v>
      </c>
      <c r="H32" s="56"/>
      <c r="I32" s="214"/>
      <c r="J32" s="75"/>
      <c r="K32" s="63">
        <f t="shared" si="4"/>
        <v>2.2045855379188711E-3</v>
      </c>
      <c r="L32" s="663" t="s">
        <v>486</v>
      </c>
      <c r="M32" s="664"/>
    </row>
    <row r="33" spans="1:32" x14ac:dyDescent="0.15">
      <c r="B33" s="27"/>
      <c r="C33" s="418" t="s">
        <v>497</v>
      </c>
      <c r="D33" s="418"/>
      <c r="E33" s="426"/>
      <c r="F33" s="56"/>
      <c r="G33" s="68"/>
      <c r="H33" s="56"/>
      <c r="I33" s="456"/>
      <c r="J33" s="75"/>
      <c r="K33" s="27"/>
      <c r="L33" s="418"/>
      <c r="M33" s="418"/>
    </row>
    <row r="34" spans="1:32" x14ac:dyDescent="0.15">
      <c r="B34" s="27"/>
      <c r="C34" s="418"/>
      <c r="D34" s="418"/>
      <c r="E34" s="426"/>
      <c r="F34" s="56"/>
      <c r="G34" s="68"/>
      <c r="H34" s="56"/>
      <c r="I34" s="456"/>
      <c r="J34" s="75"/>
      <c r="K34" s="69"/>
      <c r="L34" s="418"/>
      <c r="M34" s="418"/>
    </row>
    <row r="35" spans="1:32" s="57" customFormat="1" x14ac:dyDescent="0.15">
      <c r="C35" s="673"/>
      <c r="D35" s="673"/>
      <c r="E35" s="56"/>
      <c r="F35" s="56"/>
      <c r="G35" s="68"/>
      <c r="H35" s="56"/>
      <c r="J35" s="75"/>
      <c r="K35" s="69"/>
    </row>
    <row r="36" spans="1:32" ht="42" x14ac:dyDescent="0.2">
      <c r="B36" s="27"/>
      <c r="C36" s="665" t="s">
        <v>641</v>
      </c>
      <c r="D36" s="666"/>
      <c r="E36" s="666"/>
      <c r="F36" s="666"/>
      <c r="G36" s="666"/>
      <c r="H36" s="56"/>
      <c r="I36" s="61" t="s">
        <v>435</v>
      </c>
      <c r="J36" s="74"/>
      <c r="K36" s="667" t="s">
        <v>644</v>
      </c>
      <c r="L36" s="668"/>
      <c r="M36" s="669"/>
    </row>
    <row r="37" spans="1:32" s="6" customFormat="1" ht="28" x14ac:dyDescent="0.15">
      <c r="A37" s="33"/>
      <c r="B37" s="33"/>
      <c r="C37" s="676" t="s">
        <v>437</v>
      </c>
      <c r="D37" s="677"/>
      <c r="E37" s="40" t="s">
        <v>499</v>
      </c>
      <c r="F37" s="40" t="s">
        <v>75</v>
      </c>
      <c r="G37" s="40" t="s">
        <v>501</v>
      </c>
      <c r="H37" s="41"/>
      <c r="I37" s="40" t="s">
        <v>445</v>
      </c>
      <c r="J37" s="74"/>
      <c r="K37" s="40" t="s">
        <v>501</v>
      </c>
      <c r="L37" s="681" t="s">
        <v>488</v>
      </c>
      <c r="M37" s="68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x14ac:dyDescent="0.15">
      <c r="B38" s="27"/>
      <c r="C38" s="663" t="s">
        <v>482</v>
      </c>
      <c r="D38" s="664"/>
      <c r="E38" s="496">
        <v>1.5</v>
      </c>
      <c r="F38" s="484" t="s">
        <v>752</v>
      </c>
      <c r="G38" s="62">
        <f t="shared" ref="G38:G43" si="5">E38/453.6</f>
        <v>3.3068783068783067E-3</v>
      </c>
      <c r="H38" s="56"/>
      <c r="I38" s="214"/>
      <c r="J38" s="75"/>
      <c r="K38" s="63">
        <f t="shared" ref="K38:K43" si="6">IF(I38&gt;0, I38, G38)</f>
        <v>3.3068783068783067E-3</v>
      </c>
      <c r="L38" s="663" t="s">
        <v>482</v>
      </c>
      <c r="M38" s="664"/>
    </row>
    <row r="39" spans="1:32" x14ac:dyDescent="0.15">
      <c r="B39" s="27"/>
      <c r="C39" s="663" t="s">
        <v>483</v>
      </c>
      <c r="D39" s="664"/>
      <c r="E39" s="497">
        <v>1.6</v>
      </c>
      <c r="F39" s="484" t="s">
        <v>751</v>
      </c>
      <c r="G39" s="62">
        <f t="shared" si="5"/>
        <v>3.5273368606701938E-3</v>
      </c>
      <c r="H39" s="56"/>
      <c r="I39" s="214"/>
      <c r="J39" s="75"/>
      <c r="K39" s="63">
        <f t="shared" si="6"/>
        <v>3.5273368606701938E-3</v>
      </c>
      <c r="L39" s="663" t="s">
        <v>483</v>
      </c>
      <c r="M39" s="664"/>
    </row>
    <row r="40" spans="1:32" x14ac:dyDescent="0.15">
      <c r="B40" s="27"/>
      <c r="C40" s="663" t="s">
        <v>487</v>
      </c>
      <c r="D40" s="664"/>
      <c r="E40" s="497">
        <v>0.6</v>
      </c>
      <c r="F40" s="484" t="s">
        <v>752</v>
      </c>
      <c r="G40" s="62">
        <f t="shared" si="5"/>
        <v>1.3227513227513227E-3</v>
      </c>
      <c r="H40" s="56"/>
      <c r="I40" s="214"/>
      <c r="J40" s="75"/>
      <c r="K40" s="63">
        <f t="shared" si="6"/>
        <v>1.3227513227513227E-3</v>
      </c>
      <c r="L40" s="663" t="s">
        <v>487</v>
      </c>
      <c r="M40" s="664"/>
    </row>
    <row r="41" spans="1:32" x14ac:dyDescent="0.15">
      <c r="B41" s="27"/>
      <c r="C41" s="70" t="s">
        <v>484</v>
      </c>
      <c r="D41" s="71"/>
      <c r="E41" s="497">
        <v>0.6</v>
      </c>
      <c r="F41" s="484" t="s">
        <v>752</v>
      </c>
      <c r="G41" s="62">
        <f t="shared" si="5"/>
        <v>1.3227513227513227E-3</v>
      </c>
      <c r="H41" s="56"/>
      <c r="I41" s="214"/>
      <c r="J41" s="75"/>
      <c r="K41" s="63">
        <f t="shared" si="6"/>
        <v>1.3227513227513227E-3</v>
      </c>
      <c r="L41" s="70" t="s">
        <v>484</v>
      </c>
      <c r="M41" s="71"/>
    </row>
    <row r="42" spans="1:32" s="6" customFormat="1" x14ac:dyDescent="0.15">
      <c r="A42" s="33"/>
      <c r="B42" s="33"/>
      <c r="C42" s="663" t="s">
        <v>485</v>
      </c>
      <c r="D42" s="664"/>
      <c r="E42" s="499">
        <v>0.1</v>
      </c>
      <c r="F42" s="484" t="s">
        <v>752</v>
      </c>
      <c r="G42" s="62">
        <f t="shared" si="5"/>
        <v>2.2045855379188711E-4</v>
      </c>
      <c r="H42" s="41"/>
      <c r="I42" s="215"/>
      <c r="J42" s="74"/>
      <c r="K42" s="64">
        <f t="shared" si="6"/>
        <v>2.2045855379188711E-4</v>
      </c>
      <c r="L42" s="663" t="s">
        <v>485</v>
      </c>
      <c r="M42" s="66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x14ac:dyDescent="0.15">
      <c r="B43" s="27"/>
      <c r="C43" s="663" t="s">
        <v>486</v>
      </c>
      <c r="D43" s="664"/>
      <c r="E43" s="497">
        <v>0.1</v>
      </c>
      <c r="F43" s="484" t="s">
        <v>752</v>
      </c>
      <c r="G43" s="62">
        <f t="shared" si="5"/>
        <v>2.2045855379188711E-4</v>
      </c>
      <c r="H43" s="56"/>
      <c r="I43" s="214"/>
      <c r="J43" s="75"/>
      <c r="K43" s="63">
        <f t="shared" si="6"/>
        <v>2.2045855379188711E-4</v>
      </c>
      <c r="L43" s="663" t="s">
        <v>486</v>
      </c>
      <c r="M43" s="664"/>
    </row>
    <row r="44" spans="1:32" s="27" customFormat="1" x14ac:dyDescent="0.15">
      <c r="C44" s="418" t="s">
        <v>497</v>
      </c>
      <c r="D44" s="28"/>
      <c r="E44" s="28"/>
      <c r="F44" s="28"/>
      <c r="G44" s="56"/>
      <c r="H44" s="56"/>
      <c r="J44" s="75"/>
    </row>
    <row r="45" spans="1:32" s="27" customFormat="1" x14ac:dyDescent="0.15">
      <c r="J45" s="73"/>
    </row>
    <row r="46" spans="1:32" s="27" customFormat="1" x14ac:dyDescent="0.15">
      <c r="J46" s="73"/>
    </row>
    <row r="47" spans="1:32" s="27" customFormat="1" x14ac:dyDescent="0.15">
      <c r="J47" s="73"/>
    </row>
    <row r="48" spans="1:32" s="27" customFormat="1" x14ac:dyDescent="0.15">
      <c r="J48" s="73"/>
    </row>
    <row r="49" spans="10:10" s="27" customFormat="1" x14ac:dyDescent="0.15">
      <c r="J49" s="73"/>
    </row>
    <row r="50" spans="10:10" s="27" customFormat="1" x14ac:dyDescent="0.15">
      <c r="J50" s="73"/>
    </row>
    <row r="51" spans="10:10" s="27" customFormat="1" x14ac:dyDescent="0.15">
      <c r="J51" s="73"/>
    </row>
    <row r="52" spans="10:10" s="27" customFormat="1" x14ac:dyDescent="0.15">
      <c r="J52" s="73"/>
    </row>
    <row r="53" spans="10:10" s="27" customFormat="1" x14ac:dyDescent="0.15">
      <c r="J53" s="73"/>
    </row>
    <row r="54" spans="10:10" s="27" customFormat="1" x14ac:dyDescent="0.15">
      <c r="J54" s="73"/>
    </row>
    <row r="55" spans="10:10" s="27" customFormat="1" x14ac:dyDescent="0.15">
      <c r="J55" s="73"/>
    </row>
    <row r="56" spans="10:10" s="27" customFormat="1" x14ac:dyDescent="0.15">
      <c r="J56" s="73"/>
    </row>
    <row r="57" spans="10:10" s="27" customFormat="1" x14ac:dyDescent="0.15">
      <c r="J57" s="73"/>
    </row>
    <row r="58" spans="10:10" s="27" customFormat="1" x14ac:dyDescent="0.15">
      <c r="J58" s="73"/>
    </row>
    <row r="59" spans="10:10" s="27" customFormat="1" x14ac:dyDescent="0.15">
      <c r="J59" s="73"/>
    </row>
    <row r="60" spans="10:10" s="27" customFormat="1" x14ac:dyDescent="0.15">
      <c r="J60" s="73"/>
    </row>
    <row r="61" spans="10:10" s="27" customFormat="1" x14ac:dyDescent="0.15">
      <c r="J61" s="73"/>
    </row>
    <row r="62" spans="10:10" s="27" customFormat="1" x14ac:dyDescent="0.15">
      <c r="J62" s="73"/>
    </row>
    <row r="63" spans="10:10" s="27" customFormat="1" x14ac:dyDescent="0.15">
      <c r="J63" s="73"/>
    </row>
    <row r="64" spans="10:10" s="27" customFormat="1" x14ac:dyDescent="0.15">
      <c r="J64" s="73"/>
    </row>
    <row r="65" spans="2:10" s="27" customFormat="1" x14ac:dyDescent="0.15">
      <c r="J65" s="73"/>
    </row>
    <row r="66" spans="2:10" s="27" customFormat="1" x14ac:dyDescent="0.15">
      <c r="J66" s="73"/>
    </row>
    <row r="67" spans="2:10" s="27" customFormat="1" x14ac:dyDescent="0.15">
      <c r="J67" s="73"/>
    </row>
    <row r="68" spans="2:10" s="27" customFormat="1" x14ac:dyDescent="0.15">
      <c r="J68" s="73"/>
    </row>
    <row r="69" spans="2:10" s="27" customFormat="1" x14ac:dyDescent="0.15">
      <c r="J69" s="73"/>
    </row>
    <row r="70" spans="2:10" s="27" customFormat="1" x14ac:dyDescent="0.15">
      <c r="J70" s="73"/>
    </row>
    <row r="71" spans="2:10" s="27" customFormat="1" x14ac:dyDescent="0.15">
      <c r="J71" s="73"/>
    </row>
    <row r="72" spans="2:10" s="27" customFormat="1" x14ac:dyDescent="0.15">
      <c r="J72" s="73"/>
    </row>
    <row r="73" spans="2:10" s="27" customFormat="1" x14ac:dyDescent="0.15">
      <c r="J73" s="73"/>
    </row>
    <row r="74" spans="2:10" s="27" customFormat="1" x14ac:dyDescent="0.15">
      <c r="J74" s="73"/>
    </row>
    <row r="75" spans="2:10" s="27" customFormat="1" x14ac:dyDescent="0.15">
      <c r="J75" s="73"/>
    </row>
    <row r="76" spans="2:10" s="27" customFormat="1" x14ac:dyDescent="0.15">
      <c r="J76" s="73"/>
    </row>
    <row r="77" spans="2:10" s="27" customFormat="1" x14ac:dyDescent="0.15">
      <c r="J77" s="73"/>
    </row>
    <row r="78" spans="2:10" x14ac:dyDescent="0.15">
      <c r="B78" s="27"/>
    </row>
    <row r="79" spans="2:10" x14ac:dyDescent="0.15">
      <c r="B79" s="27"/>
    </row>
    <row r="80" spans="2:10" x14ac:dyDescent="0.15">
      <c r="B80" s="27"/>
    </row>
    <row r="81" spans="2:2" x14ac:dyDescent="0.15">
      <c r="B81" s="27"/>
    </row>
    <row r="82" spans="2:2" x14ac:dyDescent="0.15">
      <c r="B82" s="27"/>
    </row>
    <row r="83" spans="2:2" x14ac:dyDescent="0.15">
      <c r="B83" s="27"/>
    </row>
    <row r="84" spans="2:2" x14ac:dyDescent="0.15">
      <c r="B84" s="27"/>
    </row>
    <row r="85" spans="2:2" x14ac:dyDescent="0.15">
      <c r="B85" s="27"/>
    </row>
    <row r="86" spans="2:2" x14ac:dyDescent="0.15">
      <c r="B86" s="27"/>
    </row>
    <row r="87" spans="2:2" x14ac:dyDescent="0.15">
      <c r="B87" s="27"/>
    </row>
    <row r="88" spans="2:2" x14ac:dyDescent="0.15">
      <c r="B88" s="27"/>
    </row>
    <row r="89" spans="2:2" x14ac:dyDescent="0.15">
      <c r="B89" s="27"/>
    </row>
    <row r="90" spans="2:2" x14ac:dyDescent="0.15">
      <c r="B90" s="27"/>
    </row>
    <row r="91" spans="2:2" x14ac:dyDescent="0.15">
      <c r="B91" s="27"/>
    </row>
    <row r="92" spans="2:2" x14ac:dyDescent="0.15">
      <c r="B92" s="27"/>
    </row>
    <row r="93" spans="2:2" x14ac:dyDescent="0.15">
      <c r="B93" s="27"/>
    </row>
    <row r="94" spans="2:2" x14ac:dyDescent="0.15">
      <c r="B94" s="27"/>
    </row>
    <row r="95" spans="2:2" x14ac:dyDescent="0.15">
      <c r="B95" s="27"/>
    </row>
    <row r="96" spans="2:2" x14ac:dyDescent="0.15">
      <c r="B96" s="27"/>
    </row>
    <row r="97" spans="2:2" x14ac:dyDescent="0.15">
      <c r="B97" s="27"/>
    </row>
    <row r="98" spans="2:2" x14ac:dyDescent="0.15">
      <c r="B98" s="27"/>
    </row>
    <row r="99" spans="2:2" x14ac:dyDescent="0.15">
      <c r="B99" s="27"/>
    </row>
    <row r="100" spans="2:2" x14ac:dyDescent="0.15">
      <c r="B100" s="27"/>
    </row>
    <row r="101" spans="2:2" x14ac:dyDescent="0.15">
      <c r="B101" s="27"/>
    </row>
    <row r="102" spans="2:2" x14ac:dyDescent="0.15">
      <c r="B102" s="27"/>
    </row>
    <row r="103" spans="2:2" x14ac:dyDescent="0.15">
      <c r="B103" s="27"/>
    </row>
    <row r="104" spans="2:2" x14ac:dyDescent="0.15">
      <c r="B104" s="27"/>
    </row>
    <row r="105" spans="2:2" x14ac:dyDescent="0.15">
      <c r="B105" s="27"/>
    </row>
    <row r="106" spans="2:2" x14ac:dyDescent="0.15">
      <c r="B106" s="27"/>
    </row>
    <row r="107" spans="2:2" x14ac:dyDescent="0.15">
      <c r="B107" s="27"/>
    </row>
    <row r="108" spans="2:2" x14ac:dyDescent="0.15">
      <c r="B108" s="27"/>
    </row>
    <row r="109" spans="2:2" x14ac:dyDescent="0.15">
      <c r="B109" s="27"/>
    </row>
    <row r="110" spans="2:2" x14ac:dyDescent="0.15">
      <c r="B110" s="27"/>
    </row>
    <row r="111" spans="2:2" x14ac:dyDescent="0.15">
      <c r="B111" s="27"/>
    </row>
    <row r="112" spans="2:2" x14ac:dyDescent="0.15">
      <c r="B112" s="27"/>
    </row>
    <row r="113" spans="2:2" x14ac:dyDescent="0.15">
      <c r="B113" s="27"/>
    </row>
    <row r="114" spans="2:2" x14ac:dyDescent="0.15">
      <c r="B114" s="27"/>
    </row>
    <row r="115" spans="2:2" x14ac:dyDescent="0.15">
      <c r="B115" s="27"/>
    </row>
    <row r="116" spans="2:2" x14ac:dyDescent="0.15">
      <c r="B116" s="27"/>
    </row>
    <row r="117" spans="2:2" x14ac:dyDescent="0.15">
      <c r="B117" s="27"/>
    </row>
    <row r="118" spans="2:2" x14ac:dyDescent="0.15">
      <c r="B118" s="27"/>
    </row>
    <row r="119" spans="2:2" x14ac:dyDescent="0.15">
      <c r="B119" s="27"/>
    </row>
    <row r="120" spans="2:2" x14ac:dyDescent="0.15">
      <c r="B120" s="27"/>
    </row>
    <row r="121" spans="2:2" x14ac:dyDescent="0.15">
      <c r="B121" s="27"/>
    </row>
    <row r="122" spans="2:2" x14ac:dyDescent="0.15">
      <c r="B122" s="27"/>
    </row>
    <row r="123" spans="2:2" x14ac:dyDescent="0.15">
      <c r="B123" s="27"/>
    </row>
    <row r="124" spans="2:2" x14ac:dyDescent="0.15">
      <c r="B124" s="27"/>
    </row>
    <row r="125" spans="2:2" x14ac:dyDescent="0.15">
      <c r="B125" s="27"/>
    </row>
    <row r="126" spans="2:2" x14ac:dyDescent="0.15">
      <c r="B126" s="27"/>
    </row>
    <row r="127" spans="2:2" x14ac:dyDescent="0.15">
      <c r="B127" s="27"/>
    </row>
    <row r="128" spans="2:2" x14ac:dyDescent="0.15">
      <c r="B128" s="27"/>
    </row>
    <row r="129" spans="2:2" x14ac:dyDescent="0.15">
      <c r="B129" s="27"/>
    </row>
    <row r="130" spans="2:2" x14ac:dyDescent="0.15">
      <c r="B130" s="27"/>
    </row>
    <row r="131" spans="2:2" x14ac:dyDescent="0.15">
      <c r="B131" s="27"/>
    </row>
    <row r="132" spans="2:2" x14ac:dyDescent="0.15">
      <c r="B132" s="27"/>
    </row>
    <row r="133" spans="2:2" x14ac:dyDescent="0.15">
      <c r="B133" s="27"/>
    </row>
    <row r="134" spans="2:2" x14ac:dyDescent="0.15">
      <c r="B134" s="27"/>
    </row>
    <row r="135" spans="2:2" x14ac:dyDescent="0.15">
      <c r="B135" s="27"/>
    </row>
    <row r="136" spans="2:2" x14ac:dyDescent="0.15">
      <c r="B136" s="27"/>
    </row>
    <row r="137" spans="2:2" x14ac:dyDescent="0.15">
      <c r="B137" s="27"/>
    </row>
    <row r="138" spans="2:2" x14ac:dyDescent="0.15">
      <c r="B138" s="27"/>
    </row>
    <row r="139" spans="2:2" x14ac:dyDescent="0.15">
      <c r="B139" s="27"/>
    </row>
    <row r="140" spans="2:2" x14ac:dyDescent="0.15">
      <c r="B140" s="27"/>
    </row>
    <row r="141" spans="2:2" x14ac:dyDescent="0.15">
      <c r="B141" s="27"/>
    </row>
    <row r="142" spans="2:2" x14ac:dyDescent="0.15">
      <c r="B142" s="27"/>
    </row>
    <row r="143" spans="2:2" x14ac:dyDescent="0.15">
      <c r="B143" s="27"/>
    </row>
    <row r="144" spans="2:2" x14ac:dyDescent="0.15">
      <c r="B144" s="27"/>
    </row>
    <row r="145" spans="2:2" x14ac:dyDescent="0.15">
      <c r="B145" s="27"/>
    </row>
    <row r="146" spans="2:2" x14ac:dyDescent="0.15">
      <c r="B146" s="27"/>
    </row>
    <row r="147" spans="2:2" x14ac:dyDescent="0.15">
      <c r="B147" s="27"/>
    </row>
    <row r="148" spans="2:2" x14ac:dyDescent="0.15">
      <c r="B148" s="27"/>
    </row>
    <row r="149" spans="2:2" x14ac:dyDescent="0.15">
      <c r="B149" s="27"/>
    </row>
    <row r="150" spans="2:2" x14ac:dyDescent="0.15">
      <c r="B150" s="27"/>
    </row>
    <row r="151" spans="2:2" x14ac:dyDescent="0.15">
      <c r="B151" s="27"/>
    </row>
    <row r="152" spans="2:2" x14ac:dyDescent="0.15">
      <c r="B152" s="27"/>
    </row>
    <row r="153" spans="2:2" x14ac:dyDescent="0.15">
      <c r="B153" s="27"/>
    </row>
    <row r="154" spans="2:2" x14ac:dyDescent="0.15">
      <c r="B154" s="27"/>
    </row>
    <row r="155" spans="2:2" x14ac:dyDescent="0.15">
      <c r="B155" s="27"/>
    </row>
    <row r="156" spans="2:2" x14ac:dyDescent="0.15">
      <c r="B156" s="27"/>
    </row>
    <row r="157" spans="2:2" x14ac:dyDescent="0.15">
      <c r="B157" s="27"/>
    </row>
    <row r="158" spans="2:2" x14ac:dyDescent="0.15">
      <c r="B158" s="27"/>
    </row>
    <row r="159" spans="2:2" x14ac:dyDescent="0.15">
      <c r="B159" s="27"/>
    </row>
    <row r="160" spans="2:2" x14ac:dyDescent="0.15">
      <c r="B160" s="27"/>
    </row>
    <row r="161" spans="2:2" x14ac:dyDescent="0.15">
      <c r="B161" s="27"/>
    </row>
    <row r="162" spans="2:2" x14ac:dyDescent="0.15">
      <c r="B162" s="27"/>
    </row>
    <row r="163" spans="2:2" x14ac:dyDescent="0.15">
      <c r="B163" s="27"/>
    </row>
    <row r="164" spans="2:2" x14ac:dyDescent="0.15">
      <c r="B164" s="27"/>
    </row>
    <row r="165" spans="2:2" x14ac:dyDescent="0.15">
      <c r="B165" s="27"/>
    </row>
    <row r="166" spans="2:2" x14ac:dyDescent="0.15">
      <c r="B166" s="27"/>
    </row>
    <row r="167" spans="2:2" x14ac:dyDescent="0.15">
      <c r="B167" s="27"/>
    </row>
    <row r="168" spans="2:2" x14ac:dyDescent="0.15">
      <c r="B168" s="27"/>
    </row>
    <row r="169" spans="2:2" x14ac:dyDescent="0.15">
      <c r="B169" s="27"/>
    </row>
    <row r="170" spans="2:2" x14ac:dyDescent="0.15">
      <c r="B170" s="27"/>
    </row>
    <row r="171" spans="2:2" x14ac:dyDescent="0.15">
      <c r="B171" s="27"/>
    </row>
    <row r="172" spans="2:2" x14ac:dyDescent="0.15">
      <c r="B172" s="27"/>
    </row>
    <row r="173" spans="2:2" x14ac:dyDescent="0.15">
      <c r="B173" s="27"/>
    </row>
    <row r="174" spans="2:2" x14ac:dyDescent="0.15">
      <c r="B174" s="27"/>
    </row>
    <row r="175" spans="2:2" x14ac:dyDescent="0.15">
      <c r="B175" s="27"/>
    </row>
    <row r="176" spans="2:2" x14ac:dyDescent="0.15">
      <c r="B176" s="27"/>
    </row>
    <row r="177" spans="2:2" x14ac:dyDescent="0.15">
      <c r="B177" s="27"/>
    </row>
    <row r="178" spans="2:2" x14ac:dyDescent="0.15">
      <c r="B178" s="27"/>
    </row>
    <row r="179" spans="2:2" x14ac:dyDescent="0.15">
      <c r="B179" s="27"/>
    </row>
    <row r="180" spans="2:2" x14ac:dyDescent="0.15">
      <c r="B180" s="27"/>
    </row>
    <row r="181" spans="2:2" x14ac:dyDescent="0.15">
      <c r="B181" s="27"/>
    </row>
    <row r="182" spans="2:2" x14ac:dyDescent="0.15">
      <c r="B182" s="27"/>
    </row>
    <row r="183" spans="2:2" x14ac:dyDescent="0.15">
      <c r="B183" s="27"/>
    </row>
    <row r="184" spans="2:2" x14ac:dyDescent="0.15">
      <c r="B184" s="27"/>
    </row>
    <row r="185" spans="2:2" x14ac:dyDescent="0.15">
      <c r="B185" s="27"/>
    </row>
    <row r="186" spans="2:2" x14ac:dyDescent="0.15">
      <c r="B186" s="27"/>
    </row>
    <row r="187" spans="2:2" x14ac:dyDescent="0.15">
      <c r="B187" s="27"/>
    </row>
    <row r="188" spans="2:2" x14ac:dyDescent="0.15">
      <c r="B188" s="27"/>
    </row>
    <row r="189" spans="2:2" x14ac:dyDescent="0.15">
      <c r="B189" s="27"/>
    </row>
    <row r="190" spans="2:2" x14ac:dyDescent="0.15">
      <c r="B190" s="27"/>
    </row>
    <row r="191" spans="2:2" x14ac:dyDescent="0.15">
      <c r="B191" s="27"/>
    </row>
    <row r="192" spans="2:2" x14ac:dyDescent="0.15">
      <c r="B192" s="27"/>
    </row>
    <row r="193" spans="2:2" x14ac:dyDescent="0.15">
      <c r="B193" s="27"/>
    </row>
    <row r="194" spans="2:2" x14ac:dyDescent="0.15">
      <c r="B194" s="27"/>
    </row>
    <row r="195" spans="2:2" x14ac:dyDescent="0.15">
      <c r="B195" s="27"/>
    </row>
    <row r="196" spans="2:2" x14ac:dyDescent="0.15">
      <c r="B196" s="27"/>
    </row>
    <row r="197" spans="2:2" x14ac:dyDescent="0.15">
      <c r="B197" s="27"/>
    </row>
  </sheetData>
  <mergeCells count="34">
    <mergeCell ref="L32:M32"/>
    <mergeCell ref="L26:M26"/>
    <mergeCell ref="L27:M27"/>
    <mergeCell ref="L28:M28"/>
    <mergeCell ref="L29:M29"/>
    <mergeCell ref="L31:M31"/>
    <mergeCell ref="C42:D42"/>
    <mergeCell ref="C43:D43"/>
    <mergeCell ref="L37:M37"/>
    <mergeCell ref="L38:M38"/>
    <mergeCell ref="L39:M39"/>
    <mergeCell ref="C38:D38"/>
    <mergeCell ref="C39:D39"/>
    <mergeCell ref="C40:D40"/>
    <mergeCell ref="L40:M40"/>
    <mergeCell ref="L42:M42"/>
    <mergeCell ref="C37:D37"/>
    <mergeCell ref="L43:M43"/>
    <mergeCell ref="C29:D29"/>
    <mergeCell ref="C31:D31"/>
    <mergeCell ref="C36:G36"/>
    <mergeCell ref="K36:M36"/>
    <mergeCell ref="D7:G7"/>
    <mergeCell ref="I6:I7"/>
    <mergeCell ref="C32:D32"/>
    <mergeCell ref="C35:D35"/>
    <mergeCell ref="K6:L7"/>
    <mergeCell ref="C25:G25"/>
    <mergeCell ref="C26:D26"/>
    <mergeCell ref="C27:D27"/>
    <mergeCell ref="C28:D28"/>
    <mergeCell ref="B6:G6"/>
    <mergeCell ref="B7:B8"/>
    <mergeCell ref="K25:M2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06"/>
  <sheetViews>
    <sheetView topLeftCell="A5" workbookViewId="0">
      <selection activeCell="C7" sqref="C7"/>
    </sheetView>
  </sheetViews>
  <sheetFormatPr baseColWidth="10" defaultColWidth="9.1640625" defaultRowHeight="13" x14ac:dyDescent="0.15"/>
  <cols>
    <col min="1" max="1" width="9.1640625" style="293"/>
    <col min="2" max="2" width="9.1640625" style="197"/>
    <col min="3" max="3" width="17" style="197" customWidth="1"/>
    <col min="4" max="4" width="8.33203125" style="197" customWidth="1"/>
    <col min="5" max="6" width="5.83203125" style="197" customWidth="1"/>
    <col min="7" max="7" width="13.5" style="197" customWidth="1"/>
    <col min="8" max="9" width="9.1640625" style="197"/>
    <col min="10" max="10" width="16" style="197" customWidth="1"/>
    <col min="11" max="11" width="12.5" style="197" bestFit="1" customWidth="1"/>
    <col min="12" max="14" width="9.1640625" style="197"/>
    <col min="15" max="15" width="10" style="197" customWidth="1"/>
    <col min="16" max="18" width="9.1640625" style="197"/>
    <col min="19" max="19" width="10.5" style="197" customWidth="1"/>
    <col min="20" max="20" width="48" style="197" customWidth="1"/>
    <col min="21" max="52" width="9.1640625" style="293"/>
    <col min="53" max="16384" width="9.1640625" style="197"/>
  </cols>
  <sheetData>
    <row r="1" spans="1:20" ht="16" x14ac:dyDescent="0.15">
      <c r="A1" s="683" t="s">
        <v>114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684"/>
      <c r="N1" s="293"/>
      <c r="O1" s="293"/>
      <c r="P1" s="293"/>
      <c r="Q1" s="293"/>
      <c r="R1" s="293"/>
      <c r="S1" s="293"/>
      <c r="T1" s="293"/>
    </row>
    <row r="2" spans="1:20" ht="12.75" customHeight="1" x14ac:dyDescent="0.15">
      <c r="A2" s="685" t="s">
        <v>767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295"/>
      <c r="N2" s="293"/>
      <c r="O2" s="293"/>
      <c r="P2" s="293"/>
      <c r="Q2" s="293"/>
      <c r="R2" s="293"/>
      <c r="S2" s="293"/>
      <c r="T2" s="293"/>
    </row>
    <row r="3" spans="1:20" ht="15" customHeight="1" x14ac:dyDescent="0.15">
      <c r="A3" s="685" t="s">
        <v>755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293"/>
      <c r="O3" s="293"/>
      <c r="P3" s="293"/>
      <c r="Q3" s="293"/>
      <c r="R3" s="293"/>
      <c r="S3" s="293"/>
      <c r="T3" s="293"/>
    </row>
    <row r="4" spans="1:20" x14ac:dyDescent="0.15">
      <c r="A4" s="685" t="s">
        <v>685</v>
      </c>
      <c r="B4" s="698"/>
      <c r="C4" s="698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3"/>
      <c r="O4" s="293"/>
      <c r="P4" s="293"/>
      <c r="Q4" s="293"/>
      <c r="R4" s="293"/>
      <c r="S4" s="293"/>
      <c r="T4" s="293"/>
    </row>
    <row r="5" spans="1:20" ht="16" x14ac:dyDescent="0.15">
      <c r="A5" s="229"/>
      <c r="B5" s="688" t="s">
        <v>132</v>
      </c>
      <c r="C5" s="688"/>
      <c r="D5" s="294"/>
      <c r="E5" s="294"/>
      <c r="F5" s="294"/>
      <c r="G5" s="689" t="s">
        <v>339</v>
      </c>
      <c r="H5" s="690"/>
      <c r="I5" s="294"/>
      <c r="J5" s="630" t="s">
        <v>370</v>
      </c>
      <c r="K5" s="693"/>
      <c r="L5" s="693"/>
      <c r="M5" s="693"/>
      <c r="N5" s="694"/>
      <c r="O5" s="293"/>
      <c r="P5" s="293"/>
      <c r="Q5" s="293"/>
      <c r="R5" s="293"/>
      <c r="S5" s="293"/>
      <c r="T5" s="293"/>
    </row>
    <row r="6" spans="1:20" ht="34" x14ac:dyDescent="0.15">
      <c r="A6" s="229"/>
      <c r="B6" s="205" t="s">
        <v>128</v>
      </c>
      <c r="C6" s="205" t="s">
        <v>135</v>
      </c>
      <c r="D6" s="294"/>
      <c r="E6" s="294"/>
      <c r="F6" s="294"/>
      <c r="G6" s="296" t="s">
        <v>337</v>
      </c>
      <c r="H6" s="297" t="s">
        <v>121</v>
      </c>
      <c r="I6" s="294"/>
      <c r="J6" s="235" t="s">
        <v>75</v>
      </c>
      <c r="K6" s="699" t="s">
        <v>368</v>
      </c>
      <c r="L6" s="700"/>
      <c r="M6" s="700"/>
      <c r="N6" s="701"/>
      <c r="O6" s="293"/>
      <c r="P6" s="293"/>
      <c r="Q6" s="293"/>
      <c r="R6" s="293"/>
      <c r="S6" s="293"/>
      <c r="T6" s="293"/>
    </row>
    <row r="7" spans="1:20" ht="16" x14ac:dyDescent="0.15">
      <c r="A7" s="229"/>
      <c r="B7" s="298">
        <f>'1. Facility'!B8</f>
        <v>1</v>
      </c>
      <c r="C7" s="299">
        <f>IF(Q23&gt;0, Q23, "")</f>
        <v>85.949999999999989</v>
      </c>
      <c r="D7" s="294"/>
      <c r="E7" s="294"/>
      <c r="F7" s="294"/>
      <c r="G7" s="211" t="s">
        <v>115</v>
      </c>
      <c r="H7" s="473">
        <v>1</v>
      </c>
      <c r="I7" s="294"/>
      <c r="J7" s="313"/>
      <c r="K7" s="695"/>
      <c r="L7" s="696"/>
      <c r="M7" s="696"/>
      <c r="N7" s="697"/>
      <c r="O7" s="293"/>
      <c r="P7" s="293"/>
      <c r="Q7" s="293"/>
      <c r="R7" s="293"/>
      <c r="S7" s="293"/>
      <c r="T7" s="293"/>
    </row>
    <row r="8" spans="1:20" ht="16" x14ac:dyDescent="0.15">
      <c r="A8" s="229"/>
      <c r="B8" s="298">
        <f>'1. Facility'!B9</f>
        <v>2</v>
      </c>
      <c r="C8" s="299" t="str">
        <f t="shared" ref="C8:C16" si="0">IF(Q24&gt;0, Q24, "")</f>
        <v/>
      </c>
      <c r="D8" s="294"/>
      <c r="E8" s="294"/>
      <c r="F8" s="294"/>
      <c r="G8" s="211" t="s">
        <v>78</v>
      </c>
      <c r="H8" s="473">
        <v>21</v>
      </c>
      <c r="I8" s="294"/>
      <c r="J8" s="313"/>
      <c r="K8" s="695"/>
      <c r="L8" s="696"/>
      <c r="M8" s="696"/>
      <c r="N8" s="697"/>
      <c r="O8" s="293"/>
      <c r="P8" s="293"/>
      <c r="Q8" s="293"/>
      <c r="R8" s="293"/>
      <c r="S8" s="293"/>
      <c r="T8" s="293"/>
    </row>
    <row r="9" spans="1:20" ht="16" x14ac:dyDescent="0.15">
      <c r="A9" s="229"/>
      <c r="B9" s="298">
        <f>'1. Facility'!B10</f>
        <v>3</v>
      </c>
      <c r="C9" s="299" t="str">
        <f t="shared" si="0"/>
        <v/>
      </c>
      <c r="D9" s="294"/>
      <c r="E9" s="294"/>
      <c r="F9" s="294"/>
      <c r="G9" s="211" t="s">
        <v>79</v>
      </c>
      <c r="H9" s="473">
        <v>310</v>
      </c>
      <c r="I9" s="294"/>
      <c r="J9" s="313"/>
      <c r="K9" s="695"/>
      <c r="L9" s="696"/>
      <c r="M9" s="696"/>
      <c r="N9" s="697"/>
      <c r="O9" s="293"/>
      <c r="P9" s="293"/>
      <c r="Q9" s="293"/>
      <c r="R9" s="293"/>
      <c r="S9" s="293"/>
      <c r="T9" s="293"/>
    </row>
    <row r="10" spans="1:20" ht="17.25" customHeight="1" x14ac:dyDescent="0.15">
      <c r="A10" s="229"/>
      <c r="B10" s="298">
        <f>'1. Facility'!B11</f>
        <v>4</v>
      </c>
      <c r="C10" s="299" t="str">
        <f t="shared" si="0"/>
        <v/>
      </c>
      <c r="D10" s="294"/>
      <c r="E10" s="294"/>
      <c r="F10" s="294"/>
      <c r="G10" s="122"/>
      <c r="H10" s="295"/>
      <c r="I10" s="294"/>
      <c r="J10" s="313"/>
      <c r="K10" s="695"/>
      <c r="L10" s="696"/>
      <c r="M10" s="696"/>
      <c r="N10" s="697"/>
      <c r="O10" s="293"/>
      <c r="P10" s="705" t="s">
        <v>681</v>
      </c>
      <c r="Q10" s="705"/>
      <c r="R10" s="705"/>
      <c r="S10" s="293"/>
      <c r="T10" s="293"/>
    </row>
    <row r="11" spans="1:20" ht="17.25" customHeight="1" x14ac:dyDescent="0.15">
      <c r="A11" s="229"/>
      <c r="B11" s="298">
        <f>'1. Facility'!B12</f>
        <v>5</v>
      </c>
      <c r="C11" s="299" t="str">
        <f t="shared" si="0"/>
        <v/>
      </c>
      <c r="D11" s="294"/>
      <c r="E11" s="294"/>
      <c r="F11" s="294"/>
      <c r="G11" s="691" t="s">
        <v>365</v>
      </c>
      <c r="H11" s="692"/>
      <c r="I11" s="294"/>
      <c r="J11" s="313"/>
      <c r="K11" s="695"/>
      <c r="L11" s="696"/>
      <c r="M11" s="696"/>
      <c r="N11" s="697"/>
      <c r="O11" s="293"/>
      <c r="P11" s="705"/>
      <c r="Q11" s="705"/>
      <c r="R11" s="705"/>
      <c r="S11" s="293"/>
      <c r="T11" s="293"/>
    </row>
    <row r="12" spans="1:20" ht="17.25" customHeight="1" x14ac:dyDescent="0.15">
      <c r="A12" s="229"/>
      <c r="B12" s="298">
        <f>'1. Facility'!B13</f>
        <v>6</v>
      </c>
      <c r="C12" s="299" t="str">
        <f t="shared" si="0"/>
        <v/>
      </c>
      <c r="D12" s="294"/>
      <c r="E12" s="294"/>
      <c r="F12" s="294"/>
      <c r="G12" s="104" t="s">
        <v>360</v>
      </c>
      <c r="H12" s="105" t="s">
        <v>359</v>
      </c>
      <c r="I12" s="294"/>
      <c r="J12" s="313"/>
      <c r="K12" s="695"/>
      <c r="L12" s="696"/>
      <c r="M12" s="696"/>
      <c r="N12" s="697"/>
      <c r="O12" s="293"/>
      <c r="P12" s="705"/>
      <c r="Q12" s="705"/>
      <c r="R12" s="705"/>
      <c r="S12" s="293"/>
      <c r="T12" s="293"/>
    </row>
    <row r="13" spans="1:20" ht="17.25" customHeight="1" x14ac:dyDescent="0.15">
      <c r="A13" s="229"/>
      <c r="B13" s="298">
        <f>'1. Facility'!B14</f>
        <v>7</v>
      </c>
      <c r="C13" s="299" t="str">
        <f t="shared" si="0"/>
        <v/>
      </c>
      <c r="D13" s="294"/>
      <c r="E13" s="294"/>
      <c r="F13" s="294"/>
      <c r="G13" s="104" t="s">
        <v>361</v>
      </c>
      <c r="H13" s="106" t="s">
        <v>362</v>
      </c>
      <c r="I13" s="294"/>
      <c r="J13" s="313"/>
      <c r="K13" s="695"/>
      <c r="L13" s="696"/>
      <c r="M13" s="696"/>
      <c r="N13" s="697"/>
      <c r="O13" s="293"/>
      <c r="P13" s="705"/>
      <c r="Q13" s="705"/>
      <c r="R13" s="705"/>
      <c r="S13" s="293"/>
      <c r="T13" s="293"/>
    </row>
    <row r="14" spans="1:20" ht="17.25" customHeight="1" x14ac:dyDescent="0.15">
      <c r="A14" s="229"/>
      <c r="B14" s="298">
        <f>'1. Facility'!B15</f>
        <v>8</v>
      </c>
      <c r="C14" s="299" t="str">
        <f t="shared" si="0"/>
        <v/>
      </c>
      <c r="D14" s="294"/>
      <c r="E14" s="294"/>
      <c r="F14" s="294"/>
      <c r="G14" s="104" t="s">
        <v>363</v>
      </c>
      <c r="H14" s="107" t="s">
        <v>364</v>
      </c>
      <c r="I14" s="294"/>
      <c r="J14" s="313"/>
      <c r="K14" s="695"/>
      <c r="L14" s="696"/>
      <c r="M14" s="696"/>
      <c r="N14" s="697"/>
      <c r="O14" s="293"/>
      <c r="P14" s="705"/>
      <c r="Q14" s="705"/>
      <c r="R14" s="705"/>
      <c r="S14" s="293"/>
      <c r="T14" s="293"/>
    </row>
    <row r="15" spans="1:20" ht="17.25" customHeight="1" x14ac:dyDescent="0.15">
      <c r="A15" s="229"/>
      <c r="B15" s="298">
        <f>'1. Facility'!B16</f>
        <v>9</v>
      </c>
      <c r="C15" s="299" t="str">
        <f t="shared" si="0"/>
        <v/>
      </c>
      <c r="D15" s="294"/>
      <c r="E15" s="294"/>
      <c r="F15" s="294"/>
      <c r="G15" s="104" t="s">
        <v>366</v>
      </c>
      <c r="H15" s="104" t="s">
        <v>367</v>
      </c>
      <c r="I15" s="294"/>
      <c r="J15" s="313"/>
      <c r="K15" s="695"/>
      <c r="L15" s="696"/>
      <c r="M15" s="696"/>
      <c r="N15" s="697"/>
      <c r="O15" s="293"/>
      <c r="P15" s="705"/>
      <c r="Q15" s="705"/>
      <c r="R15" s="705"/>
      <c r="S15" s="293"/>
      <c r="T15" s="293"/>
    </row>
    <row r="16" spans="1:20" ht="17.25" customHeight="1" x14ac:dyDescent="0.15">
      <c r="A16" s="229"/>
      <c r="B16" s="298">
        <f>'1. Facility'!B17</f>
        <v>10</v>
      </c>
      <c r="C16" s="299" t="str">
        <f t="shared" si="0"/>
        <v/>
      </c>
      <c r="D16" s="294"/>
      <c r="E16" s="294"/>
      <c r="F16" s="294"/>
      <c r="G16" s="229"/>
      <c r="H16" s="229"/>
      <c r="I16" s="294"/>
      <c r="J16" s="313"/>
      <c r="K16" s="695"/>
      <c r="L16" s="696"/>
      <c r="M16" s="696"/>
      <c r="N16" s="697"/>
      <c r="O16" s="293"/>
      <c r="P16" s="293"/>
      <c r="Q16" s="293"/>
      <c r="R16" s="293"/>
      <c r="S16" s="293"/>
      <c r="T16" s="293"/>
    </row>
    <row r="17" spans="1:52" ht="57.75" customHeight="1" x14ac:dyDescent="0.15">
      <c r="A17" s="229"/>
      <c r="B17" s="120"/>
      <c r="C17" s="300"/>
      <c r="D17" s="294"/>
      <c r="E17" s="294"/>
      <c r="F17" s="575" t="s">
        <v>678</v>
      </c>
      <c r="G17" s="532"/>
      <c r="H17" s="532"/>
      <c r="I17" s="532"/>
      <c r="J17" s="702" t="s">
        <v>679</v>
      </c>
      <c r="K17" s="702"/>
      <c r="L17" s="294"/>
      <c r="M17" s="702" t="s">
        <v>680</v>
      </c>
      <c r="N17" s="703"/>
      <c r="O17" s="293"/>
      <c r="P17" s="293"/>
      <c r="Q17" s="293"/>
      <c r="R17" s="293"/>
      <c r="S17" s="293"/>
      <c r="T17" s="293"/>
    </row>
    <row r="18" spans="1:52" x14ac:dyDescent="0.15">
      <c r="B18" s="624" t="s">
        <v>134</v>
      </c>
      <c r="C18" s="624"/>
      <c r="D18" s="624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52" x14ac:dyDescent="0.15">
      <c r="B19" s="204"/>
      <c r="C19" s="204"/>
      <c r="D19" s="204" t="s">
        <v>33</v>
      </c>
      <c r="E19" s="302" t="s">
        <v>34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625" t="s">
        <v>35</v>
      </c>
      <c r="S19" s="625"/>
      <c r="T19" s="301"/>
    </row>
    <row r="20" spans="1:52" s="78" customFormat="1" ht="17" x14ac:dyDescent="0.2">
      <c r="A20" s="93"/>
      <c r="B20" s="303" t="s">
        <v>8</v>
      </c>
      <c r="C20" s="303" t="s">
        <v>9</v>
      </c>
      <c r="D20" s="303" t="s">
        <v>13</v>
      </c>
      <c r="E20" s="303" t="s">
        <v>38</v>
      </c>
      <c r="F20" s="303" t="s">
        <v>10</v>
      </c>
      <c r="G20" s="303" t="s">
        <v>14</v>
      </c>
      <c r="H20" s="303" t="s">
        <v>11</v>
      </c>
      <c r="I20" s="303" t="s">
        <v>56</v>
      </c>
      <c r="J20" s="303" t="s">
        <v>12</v>
      </c>
      <c r="K20" s="303" t="s">
        <v>15</v>
      </c>
      <c r="L20" s="303" t="s">
        <v>39</v>
      </c>
      <c r="M20" s="99" t="s">
        <v>40</v>
      </c>
      <c r="N20" s="99" t="s">
        <v>41</v>
      </c>
      <c r="O20" s="99" t="s">
        <v>57</v>
      </c>
      <c r="P20" s="99" t="s">
        <v>42</v>
      </c>
      <c r="Q20" s="99" t="s">
        <v>43</v>
      </c>
      <c r="R20" s="99" t="s">
        <v>44</v>
      </c>
      <c r="S20" s="99" t="s">
        <v>45</v>
      </c>
      <c r="T20" s="99" t="s">
        <v>60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</row>
    <row r="21" spans="1:52" s="78" customFormat="1" ht="99" customHeight="1" x14ac:dyDescent="0.15">
      <c r="A21" s="93"/>
      <c r="B21" s="706" t="s">
        <v>83</v>
      </c>
      <c r="C21" s="706" t="s">
        <v>105</v>
      </c>
      <c r="D21" s="706" t="s">
        <v>109</v>
      </c>
      <c r="E21" s="706" t="s">
        <v>116</v>
      </c>
      <c r="F21" s="706" t="s">
        <v>119</v>
      </c>
      <c r="G21" s="433" t="s">
        <v>136</v>
      </c>
      <c r="H21" s="434" t="s">
        <v>137</v>
      </c>
      <c r="I21" s="435" t="s">
        <v>117</v>
      </c>
      <c r="J21" s="436" t="s">
        <v>118</v>
      </c>
      <c r="K21" s="706" t="s">
        <v>106</v>
      </c>
      <c r="L21" s="431" t="s">
        <v>107</v>
      </c>
      <c r="M21" s="431" t="s">
        <v>108</v>
      </c>
      <c r="N21" s="432" t="s">
        <v>506</v>
      </c>
      <c r="O21" s="432" t="s">
        <v>113</v>
      </c>
      <c r="P21" s="432" t="s">
        <v>505</v>
      </c>
      <c r="Q21" s="432" t="s">
        <v>124</v>
      </c>
      <c r="R21" s="708" t="s">
        <v>90</v>
      </c>
      <c r="S21" s="708" t="s">
        <v>76</v>
      </c>
      <c r="T21" s="603" t="s">
        <v>75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</row>
    <row r="22" spans="1:52" s="78" customFormat="1" ht="72" customHeight="1" x14ac:dyDescent="0.15">
      <c r="A22" s="93"/>
      <c r="B22" s="707"/>
      <c r="C22" s="707"/>
      <c r="D22" s="707"/>
      <c r="E22" s="707"/>
      <c r="F22" s="707"/>
      <c r="G22" s="437" t="s">
        <v>503</v>
      </c>
      <c r="H22" s="440" t="s">
        <v>649</v>
      </c>
      <c r="I22" s="441" t="s">
        <v>647</v>
      </c>
      <c r="J22" s="438" t="s">
        <v>504</v>
      </c>
      <c r="K22" s="710"/>
      <c r="L22" s="442" t="s">
        <v>648</v>
      </c>
      <c r="M22" s="442" t="s">
        <v>647</v>
      </c>
      <c r="N22" s="439" t="s">
        <v>645</v>
      </c>
      <c r="O22" s="442" t="s">
        <v>646</v>
      </c>
      <c r="P22" s="439" t="s">
        <v>507</v>
      </c>
      <c r="Q22" s="439" t="s">
        <v>508</v>
      </c>
      <c r="R22" s="709"/>
      <c r="S22" s="709"/>
      <c r="T22" s="704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</row>
    <row r="23" spans="1:52" s="78" customFormat="1" ht="19.5" customHeight="1" x14ac:dyDescent="0.15">
      <c r="A23" s="93"/>
      <c r="B23" s="102">
        <f>B7</f>
        <v>1</v>
      </c>
      <c r="C23" s="223" t="s">
        <v>25</v>
      </c>
      <c r="D23" s="312">
        <v>500</v>
      </c>
      <c r="E23" s="312">
        <v>5</v>
      </c>
      <c r="F23" s="304" t="s">
        <v>115</v>
      </c>
      <c r="G23" s="305">
        <f>D23*(E23/100)*2000</f>
        <v>50000</v>
      </c>
      <c r="H23" s="306">
        <v>0.87</v>
      </c>
      <c r="I23" s="306">
        <v>100</v>
      </c>
      <c r="J23" s="307">
        <f>(G23*(44/12)*H23*(I23/100))/2000</f>
        <v>79.749999999999986</v>
      </c>
      <c r="K23" s="228" t="s">
        <v>79</v>
      </c>
      <c r="L23" s="308">
        <v>4</v>
      </c>
      <c r="M23" s="308">
        <v>0.02</v>
      </c>
      <c r="N23" s="309">
        <f>L23*M23*D23/2000</f>
        <v>0.02</v>
      </c>
      <c r="O23" s="308">
        <f>$H$9</f>
        <v>310</v>
      </c>
      <c r="P23" s="309">
        <f>N23*O23</f>
        <v>6.2</v>
      </c>
      <c r="Q23" s="309">
        <f t="shared" ref="Q23:Q32" si="1">J23+P23</f>
        <v>85.949999999999989</v>
      </c>
      <c r="R23" s="311"/>
      <c r="S23" s="311"/>
      <c r="T23" s="311" t="s">
        <v>91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</row>
    <row r="24" spans="1:52" s="78" customFormat="1" ht="17.25" customHeight="1" x14ac:dyDescent="0.15">
      <c r="A24" s="93"/>
      <c r="B24" s="102">
        <f t="shared" ref="B24:B32" si="2">B8</f>
        <v>2</v>
      </c>
      <c r="C24" s="223" t="s">
        <v>25</v>
      </c>
      <c r="D24" s="310"/>
      <c r="E24" s="310"/>
      <c r="F24" s="304" t="s">
        <v>115</v>
      </c>
      <c r="G24" s="305">
        <f>D24*(E24/100)*2000</f>
        <v>0</v>
      </c>
      <c r="H24" s="306">
        <v>0.87</v>
      </c>
      <c r="I24" s="306">
        <v>100</v>
      </c>
      <c r="J24" s="307">
        <f t="shared" ref="J24:J32" si="3">(G24*(44/12)*H24*(I24/100))/2000</f>
        <v>0</v>
      </c>
      <c r="K24" s="228" t="s">
        <v>79</v>
      </c>
      <c r="L24" s="308">
        <v>4</v>
      </c>
      <c r="M24" s="308">
        <v>0.02</v>
      </c>
      <c r="N24" s="309">
        <f t="shared" ref="N24:N32" si="4">L24*M24*D24/2000</f>
        <v>0</v>
      </c>
      <c r="O24" s="308">
        <f t="shared" ref="O24:O32" si="5">$H$9</f>
        <v>310</v>
      </c>
      <c r="P24" s="309">
        <f t="shared" ref="P24:P32" si="6">N24*O24</f>
        <v>0</v>
      </c>
      <c r="Q24" s="309">
        <f t="shared" si="1"/>
        <v>0</v>
      </c>
      <c r="R24" s="311"/>
      <c r="S24" s="311"/>
      <c r="T24" s="311" t="s">
        <v>91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</row>
    <row r="25" spans="1:52" s="78" customFormat="1" ht="20.25" customHeight="1" x14ac:dyDescent="0.15">
      <c r="A25" s="93"/>
      <c r="B25" s="102">
        <f t="shared" si="2"/>
        <v>3</v>
      </c>
      <c r="C25" s="223" t="s">
        <v>25</v>
      </c>
      <c r="D25" s="310"/>
      <c r="E25" s="310"/>
      <c r="F25" s="304" t="s">
        <v>115</v>
      </c>
      <c r="G25" s="305">
        <f>D25*(E25/100)*2000</f>
        <v>0</v>
      </c>
      <c r="H25" s="306">
        <v>0.87</v>
      </c>
      <c r="I25" s="306">
        <v>100</v>
      </c>
      <c r="J25" s="307">
        <f t="shared" si="3"/>
        <v>0</v>
      </c>
      <c r="K25" s="228" t="s">
        <v>79</v>
      </c>
      <c r="L25" s="308">
        <v>4</v>
      </c>
      <c r="M25" s="308">
        <v>0.02</v>
      </c>
      <c r="N25" s="309">
        <f t="shared" si="4"/>
        <v>0</v>
      </c>
      <c r="O25" s="308">
        <f t="shared" si="5"/>
        <v>310</v>
      </c>
      <c r="P25" s="309">
        <f t="shared" si="6"/>
        <v>0</v>
      </c>
      <c r="Q25" s="309">
        <f t="shared" si="1"/>
        <v>0</v>
      </c>
      <c r="R25" s="311"/>
      <c r="S25" s="311"/>
      <c r="T25" s="311" t="s">
        <v>91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</row>
    <row r="26" spans="1:52" s="78" customFormat="1" ht="21" customHeight="1" x14ac:dyDescent="0.15">
      <c r="A26" s="93"/>
      <c r="B26" s="102">
        <f t="shared" si="2"/>
        <v>4</v>
      </c>
      <c r="C26" s="223" t="s">
        <v>25</v>
      </c>
      <c r="D26" s="310"/>
      <c r="E26" s="310"/>
      <c r="F26" s="304" t="s">
        <v>115</v>
      </c>
      <c r="G26" s="305">
        <f>D26*(E26/100)*2000</f>
        <v>0</v>
      </c>
      <c r="H26" s="306">
        <v>0.87</v>
      </c>
      <c r="I26" s="306">
        <v>100</v>
      </c>
      <c r="J26" s="307">
        <f t="shared" si="3"/>
        <v>0</v>
      </c>
      <c r="K26" s="228" t="s">
        <v>79</v>
      </c>
      <c r="L26" s="308">
        <v>4</v>
      </c>
      <c r="M26" s="308">
        <v>0.02</v>
      </c>
      <c r="N26" s="309">
        <f t="shared" si="4"/>
        <v>0</v>
      </c>
      <c r="O26" s="308">
        <f t="shared" si="5"/>
        <v>310</v>
      </c>
      <c r="P26" s="309">
        <f t="shared" si="6"/>
        <v>0</v>
      </c>
      <c r="Q26" s="309">
        <f t="shared" si="1"/>
        <v>0</v>
      </c>
      <c r="R26" s="311"/>
      <c r="S26" s="311"/>
      <c r="T26" s="311" t="s">
        <v>91</v>
      </c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</row>
    <row r="27" spans="1:52" s="78" customFormat="1" ht="14" x14ac:dyDescent="0.15">
      <c r="A27" s="93"/>
      <c r="B27" s="102">
        <f t="shared" si="2"/>
        <v>5</v>
      </c>
      <c r="C27" s="223" t="s">
        <v>25</v>
      </c>
      <c r="D27" s="311"/>
      <c r="E27" s="311"/>
      <c r="F27" s="304" t="s">
        <v>115</v>
      </c>
      <c r="G27" s="305">
        <f t="shared" ref="G27:G32" si="7">D27*(E27/100)*2000</f>
        <v>0</v>
      </c>
      <c r="H27" s="306">
        <v>0.87</v>
      </c>
      <c r="I27" s="306">
        <v>100</v>
      </c>
      <c r="J27" s="307">
        <f t="shared" si="3"/>
        <v>0</v>
      </c>
      <c r="K27" s="228" t="s">
        <v>79</v>
      </c>
      <c r="L27" s="308">
        <v>4</v>
      </c>
      <c r="M27" s="308">
        <v>0.02</v>
      </c>
      <c r="N27" s="309">
        <f t="shared" si="4"/>
        <v>0</v>
      </c>
      <c r="O27" s="308">
        <f t="shared" si="5"/>
        <v>310</v>
      </c>
      <c r="P27" s="309">
        <f t="shared" si="6"/>
        <v>0</v>
      </c>
      <c r="Q27" s="309">
        <f t="shared" si="1"/>
        <v>0</v>
      </c>
      <c r="R27" s="311"/>
      <c r="S27" s="311"/>
      <c r="T27" s="311" t="s">
        <v>91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</row>
    <row r="28" spans="1:52" ht="14" x14ac:dyDescent="0.15">
      <c r="B28" s="102">
        <f t="shared" si="2"/>
        <v>6</v>
      </c>
      <c r="C28" s="223" t="s">
        <v>25</v>
      </c>
      <c r="D28" s="214"/>
      <c r="E28" s="214"/>
      <c r="F28" s="304" t="s">
        <v>115</v>
      </c>
      <c r="G28" s="305">
        <f t="shared" si="7"/>
        <v>0</v>
      </c>
      <c r="H28" s="306">
        <v>0.87</v>
      </c>
      <c r="I28" s="306">
        <v>100</v>
      </c>
      <c r="J28" s="307">
        <f t="shared" si="3"/>
        <v>0</v>
      </c>
      <c r="K28" s="228" t="s">
        <v>79</v>
      </c>
      <c r="L28" s="308">
        <v>4</v>
      </c>
      <c r="M28" s="308">
        <v>0.02</v>
      </c>
      <c r="N28" s="309">
        <f t="shared" si="4"/>
        <v>0</v>
      </c>
      <c r="O28" s="308">
        <f t="shared" si="5"/>
        <v>310</v>
      </c>
      <c r="P28" s="309">
        <f t="shared" si="6"/>
        <v>0</v>
      </c>
      <c r="Q28" s="309">
        <f t="shared" si="1"/>
        <v>0</v>
      </c>
      <c r="R28" s="214"/>
      <c r="S28" s="214"/>
      <c r="T28" s="311" t="s">
        <v>91</v>
      </c>
    </row>
    <row r="29" spans="1:52" ht="14" x14ac:dyDescent="0.15">
      <c r="B29" s="102">
        <f t="shared" si="2"/>
        <v>7</v>
      </c>
      <c r="C29" s="223" t="s">
        <v>25</v>
      </c>
      <c r="D29" s="214"/>
      <c r="E29" s="214"/>
      <c r="F29" s="304" t="s">
        <v>115</v>
      </c>
      <c r="G29" s="305">
        <f t="shared" si="7"/>
        <v>0</v>
      </c>
      <c r="H29" s="306">
        <v>0.87</v>
      </c>
      <c r="I29" s="306">
        <v>100</v>
      </c>
      <c r="J29" s="307">
        <f t="shared" si="3"/>
        <v>0</v>
      </c>
      <c r="K29" s="228" t="s">
        <v>79</v>
      </c>
      <c r="L29" s="308">
        <v>4</v>
      </c>
      <c r="M29" s="308">
        <v>0.02</v>
      </c>
      <c r="N29" s="309">
        <f t="shared" si="4"/>
        <v>0</v>
      </c>
      <c r="O29" s="308">
        <f t="shared" si="5"/>
        <v>310</v>
      </c>
      <c r="P29" s="309">
        <f t="shared" si="6"/>
        <v>0</v>
      </c>
      <c r="Q29" s="309">
        <f t="shared" si="1"/>
        <v>0</v>
      </c>
      <c r="R29" s="214"/>
      <c r="S29" s="214"/>
      <c r="T29" s="311" t="s">
        <v>91</v>
      </c>
    </row>
    <row r="30" spans="1:52" ht="14" x14ac:dyDescent="0.15">
      <c r="B30" s="102">
        <f t="shared" si="2"/>
        <v>8</v>
      </c>
      <c r="C30" s="223" t="s">
        <v>25</v>
      </c>
      <c r="D30" s="214"/>
      <c r="E30" s="214"/>
      <c r="F30" s="304" t="s">
        <v>115</v>
      </c>
      <c r="G30" s="305">
        <f t="shared" si="7"/>
        <v>0</v>
      </c>
      <c r="H30" s="306">
        <v>0.87</v>
      </c>
      <c r="I30" s="306">
        <v>100</v>
      </c>
      <c r="J30" s="307">
        <f t="shared" si="3"/>
        <v>0</v>
      </c>
      <c r="K30" s="228" t="s">
        <v>79</v>
      </c>
      <c r="L30" s="308">
        <v>4</v>
      </c>
      <c r="M30" s="308">
        <v>0.02</v>
      </c>
      <c r="N30" s="309">
        <f t="shared" si="4"/>
        <v>0</v>
      </c>
      <c r="O30" s="308">
        <f t="shared" si="5"/>
        <v>310</v>
      </c>
      <c r="P30" s="309">
        <f t="shared" si="6"/>
        <v>0</v>
      </c>
      <c r="Q30" s="309">
        <f t="shared" si="1"/>
        <v>0</v>
      </c>
      <c r="R30" s="214"/>
      <c r="S30" s="214"/>
      <c r="T30" s="311" t="s">
        <v>91</v>
      </c>
    </row>
    <row r="31" spans="1:52" ht="14" x14ac:dyDescent="0.15">
      <c r="B31" s="102">
        <f t="shared" si="2"/>
        <v>9</v>
      </c>
      <c r="C31" s="223" t="s">
        <v>25</v>
      </c>
      <c r="D31" s="214"/>
      <c r="E31" s="214"/>
      <c r="F31" s="304" t="s">
        <v>115</v>
      </c>
      <c r="G31" s="305">
        <f t="shared" si="7"/>
        <v>0</v>
      </c>
      <c r="H31" s="306">
        <v>0.87</v>
      </c>
      <c r="I31" s="306">
        <v>100</v>
      </c>
      <c r="J31" s="307">
        <f t="shared" si="3"/>
        <v>0</v>
      </c>
      <c r="K31" s="228" t="s">
        <v>79</v>
      </c>
      <c r="L31" s="308">
        <v>4</v>
      </c>
      <c r="M31" s="308">
        <v>0.02</v>
      </c>
      <c r="N31" s="309">
        <f t="shared" si="4"/>
        <v>0</v>
      </c>
      <c r="O31" s="308">
        <f t="shared" si="5"/>
        <v>310</v>
      </c>
      <c r="P31" s="309">
        <f t="shared" si="6"/>
        <v>0</v>
      </c>
      <c r="Q31" s="309">
        <f t="shared" si="1"/>
        <v>0</v>
      </c>
      <c r="R31" s="214"/>
      <c r="S31" s="214"/>
      <c r="T31" s="311" t="s">
        <v>91</v>
      </c>
    </row>
    <row r="32" spans="1:52" ht="14" x14ac:dyDescent="0.15">
      <c r="B32" s="102">
        <f t="shared" si="2"/>
        <v>10</v>
      </c>
      <c r="C32" s="223" t="s">
        <v>25</v>
      </c>
      <c r="D32" s="214"/>
      <c r="E32" s="214"/>
      <c r="F32" s="304" t="s">
        <v>492</v>
      </c>
      <c r="G32" s="305">
        <f t="shared" si="7"/>
        <v>0</v>
      </c>
      <c r="H32" s="306">
        <v>0.87</v>
      </c>
      <c r="I32" s="306">
        <v>100</v>
      </c>
      <c r="J32" s="307">
        <f t="shared" si="3"/>
        <v>0</v>
      </c>
      <c r="K32" s="228" t="s">
        <v>79</v>
      </c>
      <c r="L32" s="308">
        <v>4</v>
      </c>
      <c r="M32" s="308">
        <v>0.02</v>
      </c>
      <c r="N32" s="309">
        <f t="shared" si="4"/>
        <v>0</v>
      </c>
      <c r="O32" s="308">
        <f t="shared" si="5"/>
        <v>310</v>
      </c>
      <c r="P32" s="309">
        <f t="shared" si="6"/>
        <v>0</v>
      </c>
      <c r="Q32" s="309">
        <f t="shared" si="1"/>
        <v>0</v>
      </c>
      <c r="R32" s="214"/>
      <c r="S32" s="214"/>
      <c r="T32" s="311" t="s">
        <v>91</v>
      </c>
    </row>
    <row r="33" s="293" customFormat="1" x14ac:dyDescent="0.15"/>
    <row r="34" s="293" customFormat="1" x14ac:dyDescent="0.15"/>
    <row r="35" s="293" customFormat="1" x14ac:dyDescent="0.15"/>
    <row r="36" s="293" customFormat="1" x14ac:dyDescent="0.15"/>
    <row r="37" s="293" customFormat="1" x14ac:dyDescent="0.15"/>
    <row r="38" s="293" customFormat="1" x14ac:dyDescent="0.15"/>
    <row r="39" s="293" customFormat="1" x14ac:dyDescent="0.15"/>
    <row r="40" s="293" customFormat="1" x14ac:dyDescent="0.15"/>
    <row r="41" s="293" customFormat="1" x14ac:dyDescent="0.15"/>
    <row r="42" s="293" customFormat="1" x14ac:dyDescent="0.15"/>
    <row r="43" s="293" customFormat="1" x14ac:dyDescent="0.15"/>
    <row r="44" s="293" customFormat="1" x14ac:dyDescent="0.15"/>
    <row r="45" s="293" customFormat="1" x14ac:dyDescent="0.15"/>
    <row r="46" s="293" customFormat="1" x14ac:dyDescent="0.15"/>
    <row r="47" s="293" customFormat="1" x14ac:dyDescent="0.15"/>
    <row r="48" s="293" customFormat="1" x14ac:dyDescent="0.15"/>
    <row r="49" s="293" customFormat="1" x14ac:dyDescent="0.15"/>
    <row r="50" s="293" customFormat="1" x14ac:dyDescent="0.15"/>
    <row r="51" s="293" customFormat="1" x14ac:dyDescent="0.15"/>
    <row r="52" s="293" customFormat="1" x14ac:dyDescent="0.15"/>
    <row r="53" s="293" customFormat="1" x14ac:dyDescent="0.15"/>
    <row r="54" s="293" customFormat="1" x14ac:dyDescent="0.15"/>
    <row r="55" s="293" customFormat="1" x14ac:dyDescent="0.15"/>
    <row r="56" s="293" customFormat="1" x14ac:dyDescent="0.15"/>
    <row r="57" s="293" customFormat="1" x14ac:dyDescent="0.15"/>
    <row r="58" s="293" customFormat="1" x14ac:dyDescent="0.15"/>
    <row r="59" s="293" customFormat="1" x14ac:dyDescent="0.15"/>
    <row r="60" s="293" customFormat="1" x14ac:dyDescent="0.15"/>
    <row r="61" s="293" customFormat="1" x14ac:dyDescent="0.15"/>
    <row r="62" s="293" customFormat="1" x14ac:dyDescent="0.15"/>
    <row r="63" s="293" customFormat="1" x14ac:dyDescent="0.15"/>
    <row r="64" s="293" customFormat="1" x14ac:dyDescent="0.15"/>
    <row r="65" s="293" customFormat="1" x14ac:dyDescent="0.15"/>
    <row r="66" s="293" customFormat="1" x14ac:dyDescent="0.15"/>
    <row r="67" s="293" customFormat="1" x14ac:dyDescent="0.15"/>
    <row r="68" s="293" customFormat="1" x14ac:dyDescent="0.15"/>
    <row r="69" s="293" customFormat="1" x14ac:dyDescent="0.15"/>
    <row r="70" s="293" customFormat="1" x14ac:dyDescent="0.15"/>
    <row r="71" s="293" customFormat="1" x14ac:dyDescent="0.15"/>
    <row r="72" s="293" customFormat="1" x14ac:dyDescent="0.15"/>
    <row r="73" s="293" customFormat="1" x14ac:dyDescent="0.15"/>
    <row r="74" s="293" customFormat="1" x14ac:dyDescent="0.15"/>
    <row r="75" s="293" customFormat="1" x14ac:dyDescent="0.15"/>
    <row r="76" s="293" customFormat="1" x14ac:dyDescent="0.15"/>
    <row r="77" s="293" customFormat="1" x14ac:dyDescent="0.15"/>
    <row r="78" s="293" customFormat="1" x14ac:dyDescent="0.15"/>
    <row r="79" s="293" customFormat="1" x14ac:dyDescent="0.15"/>
    <row r="80" s="293" customFormat="1" x14ac:dyDescent="0.15"/>
    <row r="81" s="293" customFormat="1" x14ac:dyDescent="0.15"/>
    <row r="82" s="293" customFormat="1" x14ac:dyDescent="0.15"/>
    <row r="83" s="293" customFormat="1" x14ac:dyDescent="0.15"/>
    <row r="84" s="293" customFormat="1" x14ac:dyDescent="0.15"/>
    <row r="85" s="293" customFormat="1" x14ac:dyDescent="0.15"/>
    <row r="86" s="293" customFormat="1" x14ac:dyDescent="0.15"/>
    <row r="87" s="293" customFormat="1" x14ac:dyDescent="0.15"/>
    <row r="88" s="293" customFormat="1" x14ac:dyDescent="0.15"/>
    <row r="89" s="293" customFormat="1" x14ac:dyDescent="0.15"/>
    <row r="90" s="293" customFormat="1" x14ac:dyDescent="0.15"/>
    <row r="91" s="293" customFormat="1" x14ac:dyDescent="0.15"/>
    <row r="92" s="293" customFormat="1" x14ac:dyDescent="0.15"/>
    <row r="93" s="293" customFormat="1" x14ac:dyDescent="0.15"/>
    <row r="94" s="293" customFormat="1" x14ac:dyDescent="0.15"/>
    <row r="95" s="293" customFormat="1" x14ac:dyDescent="0.15"/>
    <row r="96" s="293" customFormat="1" x14ac:dyDescent="0.15"/>
    <row r="97" s="293" customFormat="1" x14ac:dyDescent="0.15"/>
    <row r="98" s="293" customFormat="1" x14ac:dyDescent="0.15"/>
    <row r="99" s="293" customFormat="1" x14ac:dyDescent="0.15"/>
    <row r="100" s="293" customFormat="1" x14ac:dyDescent="0.15"/>
    <row r="101" s="293" customFormat="1" x14ac:dyDescent="0.15"/>
    <row r="102" s="293" customFormat="1" x14ac:dyDescent="0.15"/>
    <row r="103" s="293" customFormat="1" x14ac:dyDescent="0.15"/>
    <row r="104" s="293" customFormat="1" x14ac:dyDescent="0.15"/>
    <row r="105" s="293" customFormat="1" x14ac:dyDescent="0.15"/>
    <row r="106" s="293" customFormat="1" x14ac:dyDescent="0.15"/>
    <row r="107" s="293" customFormat="1" x14ac:dyDescent="0.15"/>
    <row r="108" s="293" customFormat="1" x14ac:dyDescent="0.15"/>
    <row r="109" s="293" customFormat="1" x14ac:dyDescent="0.15"/>
    <row r="110" s="293" customFormat="1" x14ac:dyDescent="0.15"/>
    <row r="111" s="293" customFormat="1" x14ac:dyDescent="0.15"/>
    <row r="112" s="293" customFormat="1" x14ac:dyDescent="0.15"/>
    <row r="113" s="293" customFormat="1" x14ac:dyDescent="0.15"/>
    <row r="114" s="293" customFormat="1" x14ac:dyDescent="0.15"/>
    <row r="115" s="293" customFormat="1" x14ac:dyDescent="0.15"/>
    <row r="116" s="293" customFormat="1" x14ac:dyDescent="0.15"/>
    <row r="117" s="293" customFormat="1" x14ac:dyDescent="0.15"/>
    <row r="118" s="293" customFormat="1" x14ac:dyDescent="0.15"/>
    <row r="119" s="293" customFormat="1" x14ac:dyDescent="0.15"/>
    <row r="120" s="293" customFormat="1" x14ac:dyDescent="0.15"/>
    <row r="121" s="293" customFormat="1" x14ac:dyDescent="0.15"/>
    <row r="122" s="293" customFormat="1" x14ac:dyDescent="0.15"/>
    <row r="123" s="293" customFormat="1" x14ac:dyDescent="0.15"/>
    <row r="124" s="293" customFormat="1" x14ac:dyDescent="0.15"/>
    <row r="125" s="293" customFormat="1" x14ac:dyDescent="0.15"/>
    <row r="126" s="293" customFormat="1" x14ac:dyDescent="0.15"/>
    <row r="127" s="293" customFormat="1" x14ac:dyDescent="0.15"/>
    <row r="128" s="293" customFormat="1" x14ac:dyDescent="0.15"/>
    <row r="129" s="293" customFormat="1" x14ac:dyDescent="0.15"/>
    <row r="130" s="293" customFormat="1" x14ac:dyDescent="0.15"/>
    <row r="131" s="293" customFormat="1" x14ac:dyDescent="0.15"/>
    <row r="132" s="293" customFormat="1" x14ac:dyDescent="0.15"/>
    <row r="133" s="293" customFormat="1" x14ac:dyDescent="0.15"/>
    <row r="134" s="293" customFormat="1" x14ac:dyDescent="0.15"/>
    <row r="135" s="293" customFormat="1" x14ac:dyDescent="0.15"/>
    <row r="136" s="293" customFormat="1" x14ac:dyDescent="0.15"/>
    <row r="137" s="293" customFormat="1" x14ac:dyDescent="0.15"/>
    <row r="138" s="293" customFormat="1" x14ac:dyDescent="0.15"/>
    <row r="139" s="293" customFormat="1" x14ac:dyDescent="0.15"/>
    <row r="140" s="293" customFormat="1" x14ac:dyDescent="0.15"/>
    <row r="141" s="293" customFormat="1" x14ac:dyDescent="0.15"/>
    <row r="142" s="293" customFormat="1" x14ac:dyDescent="0.15"/>
    <row r="143" s="293" customFormat="1" x14ac:dyDescent="0.15"/>
    <row r="144" s="293" customFormat="1" x14ac:dyDescent="0.15"/>
    <row r="145" s="293" customFormat="1" x14ac:dyDescent="0.15"/>
    <row r="146" s="293" customFormat="1" x14ac:dyDescent="0.15"/>
    <row r="147" s="293" customFormat="1" x14ac:dyDescent="0.15"/>
    <row r="148" s="293" customFormat="1" x14ac:dyDescent="0.15"/>
    <row r="149" s="293" customFormat="1" x14ac:dyDescent="0.15"/>
    <row r="150" s="293" customFormat="1" x14ac:dyDescent="0.15"/>
    <row r="151" s="293" customFormat="1" x14ac:dyDescent="0.15"/>
    <row r="152" s="293" customFormat="1" x14ac:dyDescent="0.15"/>
    <row r="153" s="293" customFormat="1" x14ac:dyDescent="0.15"/>
    <row r="154" s="293" customFormat="1" x14ac:dyDescent="0.15"/>
    <row r="155" s="293" customFormat="1" x14ac:dyDescent="0.15"/>
    <row r="156" s="293" customFormat="1" x14ac:dyDescent="0.15"/>
    <row r="157" s="293" customFormat="1" x14ac:dyDescent="0.15"/>
    <row r="158" s="293" customFormat="1" x14ac:dyDescent="0.15"/>
    <row r="159" s="293" customFormat="1" x14ac:dyDescent="0.15"/>
    <row r="160" s="293" customFormat="1" x14ac:dyDescent="0.15"/>
    <row r="161" s="293" customFormat="1" x14ac:dyDescent="0.15"/>
    <row r="162" s="293" customFormat="1" x14ac:dyDescent="0.15"/>
    <row r="163" s="293" customFormat="1" x14ac:dyDescent="0.15"/>
    <row r="164" s="293" customFormat="1" x14ac:dyDescent="0.15"/>
    <row r="165" s="293" customFormat="1" x14ac:dyDescent="0.15"/>
    <row r="166" s="293" customFormat="1" x14ac:dyDescent="0.15"/>
    <row r="167" s="293" customFormat="1" x14ac:dyDescent="0.15"/>
    <row r="168" s="293" customFormat="1" x14ac:dyDescent="0.15"/>
    <row r="169" s="293" customFormat="1" x14ac:dyDescent="0.15"/>
    <row r="170" s="293" customFormat="1" x14ac:dyDescent="0.15"/>
    <row r="171" s="293" customFormat="1" x14ac:dyDescent="0.15"/>
    <row r="172" s="293" customFormat="1" x14ac:dyDescent="0.15"/>
    <row r="173" s="293" customFormat="1" x14ac:dyDescent="0.15"/>
    <row r="174" s="293" customFormat="1" x14ac:dyDescent="0.15"/>
    <row r="175" s="293" customFormat="1" x14ac:dyDescent="0.15"/>
    <row r="176" s="293" customFormat="1" x14ac:dyDescent="0.15"/>
    <row r="177" s="293" customFormat="1" x14ac:dyDescent="0.15"/>
    <row r="178" s="293" customFormat="1" x14ac:dyDescent="0.15"/>
    <row r="179" s="293" customFormat="1" x14ac:dyDescent="0.15"/>
    <row r="180" s="293" customFormat="1" x14ac:dyDescent="0.15"/>
    <row r="181" s="293" customFormat="1" x14ac:dyDescent="0.15"/>
    <row r="182" s="293" customFormat="1" x14ac:dyDescent="0.15"/>
    <row r="183" s="293" customFormat="1" x14ac:dyDescent="0.15"/>
    <row r="184" s="293" customFormat="1" x14ac:dyDescent="0.15"/>
    <row r="185" s="293" customFormat="1" x14ac:dyDescent="0.15"/>
    <row r="186" s="293" customFormat="1" x14ac:dyDescent="0.15"/>
    <row r="187" s="293" customFormat="1" x14ac:dyDescent="0.15"/>
    <row r="188" s="293" customFormat="1" x14ac:dyDescent="0.15"/>
    <row r="189" s="293" customFormat="1" x14ac:dyDescent="0.15"/>
    <row r="190" s="293" customFormat="1" x14ac:dyDescent="0.15"/>
    <row r="191" s="293" customFormat="1" x14ac:dyDescent="0.15"/>
    <row r="192" s="293" customFormat="1" x14ac:dyDescent="0.15"/>
    <row r="193" s="293" customFormat="1" x14ac:dyDescent="0.15"/>
    <row r="194" s="293" customFormat="1" x14ac:dyDescent="0.15"/>
    <row r="195" s="293" customFormat="1" x14ac:dyDescent="0.15"/>
    <row r="196" s="293" customFormat="1" x14ac:dyDescent="0.15"/>
    <row r="197" s="293" customFormat="1" x14ac:dyDescent="0.15"/>
    <row r="198" s="293" customFormat="1" x14ac:dyDescent="0.15"/>
    <row r="199" s="293" customFormat="1" x14ac:dyDescent="0.15"/>
    <row r="200" s="293" customFormat="1" x14ac:dyDescent="0.15"/>
    <row r="201" s="293" customFormat="1" x14ac:dyDescent="0.15"/>
    <row r="202" s="293" customFormat="1" x14ac:dyDescent="0.15"/>
    <row r="203" s="293" customFormat="1" x14ac:dyDescent="0.15"/>
    <row r="204" s="293" customFormat="1" x14ac:dyDescent="0.15"/>
    <row r="205" s="293" customFormat="1" x14ac:dyDescent="0.15"/>
    <row r="206" s="293" customFormat="1" x14ac:dyDescent="0.15"/>
  </sheetData>
  <mergeCells count="34">
    <mergeCell ref="B21:B22"/>
    <mergeCell ref="C21:C22"/>
    <mergeCell ref="R21:R22"/>
    <mergeCell ref="S21:S22"/>
    <mergeCell ref="D21:D22"/>
    <mergeCell ref="E21:E22"/>
    <mergeCell ref="F21:F22"/>
    <mergeCell ref="K21:K22"/>
    <mergeCell ref="K10:N10"/>
    <mergeCell ref="K11:N11"/>
    <mergeCell ref="K7:N7"/>
    <mergeCell ref="K8:N8"/>
    <mergeCell ref="T21:T22"/>
    <mergeCell ref="R19:S19"/>
    <mergeCell ref="P10:R15"/>
    <mergeCell ref="K13:N13"/>
    <mergeCell ref="K14:N14"/>
    <mergeCell ref="K9:N9"/>
    <mergeCell ref="B18:D18"/>
    <mergeCell ref="A1:M1"/>
    <mergeCell ref="A2:L2"/>
    <mergeCell ref="A3:M3"/>
    <mergeCell ref="B5:C5"/>
    <mergeCell ref="G5:H5"/>
    <mergeCell ref="G11:H11"/>
    <mergeCell ref="J5:N5"/>
    <mergeCell ref="K15:N15"/>
    <mergeCell ref="A4:C4"/>
    <mergeCell ref="K6:N6"/>
    <mergeCell ref="F17:I17"/>
    <mergeCell ref="J17:K17"/>
    <mergeCell ref="M17:N17"/>
    <mergeCell ref="K16:N16"/>
    <mergeCell ref="K12:N12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55"/>
  <sheetViews>
    <sheetView topLeftCell="D22" workbookViewId="0">
      <selection activeCell="F25" sqref="F25"/>
    </sheetView>
  </sheetViews>
  <sheetFormatPr baseColWidth="10" defaultColWidth="9.6640625" defaultRowHeight="16" x14ac:dyDescent="0.15"/>
  <cols>
    <col min="1" max="1" width="1.83203125" style="295" customWidth="1"/>
    <col min="2" max="2" width="5.33203125" style="328" customWidth="1"/>
    <col min="3" max="3" width="21" style="328" customWidth="1"/>
    <col min="4" max="4" width="14.5" style="328" customWidth="1"/>
    <col min="5" max="5" width="7.1640625" style="328" customWidth="1"/>
    <col min="6" max="6" width="16.83203125" style="328" customWidth="1"/>
    <col min="7" max="7" width="11.1640625" style="328" customWidth="1"/>
    <col min="8" max="8" width="15.5" style="328" customWidth="1"/>
    <col min="9" max="9" width="13.83203125" style="328" customWidth="1"/>
    <col min="10" max="10" width="14.5" style="328" customWidth="1"/>
    <col min="11" max="11" width="11.83203125" style="328" customWidth="1"/>
    <col min="12" max="13" width="12.1640625" style="328" customWidth="1"/>
    <col min="14" max="14" width="11.5" style="295" customWidth="1"/>
    <col min="15" max="15" width="12.83203125" style="295" customWidth="1"/>
    <col min="16" max="30" width="9.6640625" style="295" customWidth="1"/>
    <col min="31" max="16384" width="9.6640625" style="328"/>
  </cols>
  <sheetData>
    <row r="1" spans="1:16" s="229" customFormat="1" ht="24" customHeight="1" x14ac:dyDescent="0.15">
      <c r="A1" s="683" t="s">
        <v>53</v>
      </c>
      <c r="B1" s="575"/>
      <c r="C1" s="575"/>
      <c r="D1" s="575"/>
      <c r="E1" s="575"/>
      <c r="F1" s="684"/>
      <c r="G1" s="721"/>
      <c r="H1" s="295"/>
      <c r="I1" s="572" t="s">
        <v>110</v>
      </c>
      <c r="J1" s="572"/>
      <c r="K1" s="572"/>
      <c r="L1" s="572"/>
      <c r="M1" s="572"/>
      <c r="N1" s="572"/>
      <c r="O1" s="572"/>
      <c r="P1" s="572"/>
    </row>
    <row r="2" spans="1:16" s="229" customFormat="1" ht="17.25" customHeight="1" x14ac:dyDescent="0.15">
      <c r="A2" s="685" t="s">
        <v>768</v>
      </c>
      <c r="B2" s="686"/>
      <c r="C2" s="686"/>
      <c r="D2" s="686"/>
      <c r="E2" s="686"/>
      <c r="F2" s="295"/>
      <c r="G2" s="295"/>
      <c r="H2" s="295"/>
      <c r="I2" s="295"/>
      <c r="J2" s="295"/>
      <c r="K2" s="295"/>
      <c r="L2" s="295"/>
      <c r="M2" s="295"/>
    </row>
    <row r="3" spans="1:16" s="229" customFormat="1" ht="12" customHeight="1" x14ac:dyDescent="0.15">
      <c r="A3" s="685" t="s">
        <v>755</v>
      </c>
      <c r="B3" s="687"/>
      <c r="C3" s="687"/>
      <c r="D3" s="687"/>
      <c r="E3" s="687"/>
      <c r="F3" s="687"/>
      <c r="G3" s="295"/>
      <c r="H3" s="295"/>
      <c r="I3" s="295"/>
      <c r="J3" s="295"/>
      <c r="K3" s="295"/>
      <c r="L3" s="295"/>
      <c r="M3" s="295"/>
    </row>
    <row r="4" spans="1:16" s="229" customFormat="1" ht="12" customHeight="1" x14ac:dyDescent="0.15">
      <c r="A4" s="685" t="s">
        <v>687</v>
      </c>
      <c r="B4" s="698"/>
      <c r="C4" s="698"/>
      <c r="D4" s="294"/>
      <c r="E4" s="294"/>
      <c r="F4" s="294"/>
      <c r="G4" s="295"/>
      <c r="H4" s="295"/>
      <c r="I4" s="295"/>
      <c r="J4" s="295"/>
      <c r="K4" s="295"/>
      <c r="L4" s="295"/>
      <c r="M4" s="295"/>
    </row>
    <row r="5" spans="1:16" s="229" customFormat="1" ht="12" customHeight="1" x14ac:dyDescent="0.15">
      <c r="B5" s="294"/>
      <c r="C5" s="737" t="s">
        <v>351</v>
      </c>
      <c r="D5" s="737"/>
      <c r="E5" s="294"/>
      <c r="F5" s="689" t="s">
        <v>339</v>
      </c>
      <c r="G5" s="690"/>
      <c r="H5" s="295"/>
      <c r="I5" s="724" t="s">
        <v>374</v>
      </c>
      <c r="J5" s="687"/>
      <c r="K5" s="687"/>
      <c r="L5" s="687"/>
      <c r="M5" s="687"/>
      <c r="N5" s="687"/>
      <c r="O5" s="687"/>
      <c r="P5" s="687"/>
    </row>
    <row r="6" spans="1:16" s="229" customFormat="1" ht="33" customHeight="1" x14ac:dyDescent="0.15">
      <c r="B6" s="294"/>
      <c r="C6" s="314" t="s">
        <v>128</v>
      </c>
      <c r="D6" s="314" t="s">
        <v>350</v>
      </c>
      <c r="E6" s="294"/>
      <c r="F6" s="296" t="s">
        <v>337</v>
      </c>
      <c r="G6" s="297" t="s">
        <v>121</v>
      </c>
      <c r="H6" s="295"/>
      <c r="I6" s="687"/>
      <c r="J6" s="687"/>
      <c r="K6" s="687"/>
      <c r="L6" s="687"/>
      <c r="M6" s="687"/>
      <c r="N6" s="687"/>
      <c r="O6" s="687"/>
      <c r="P6" s="687"/>
    </row>
    <row r="7" spans="1:16" s="229" customFormat="1" ht="12" customHeight="1" x14ac:dyDescent="0.15">
      <c r="B7" s="294"/>
      <c r="C7" s="315">
        <f>'1. Facility'!B8</f>
        <v>1</v>
      </c>
      <c r="D7" s="316">
        <f t="shared" ref="D7:D16" si="0">M24</f>
        <v>953.115813054</v>
      </c>
      <c r="E7" s="294"/>
      <c r="F7" s="211" t="s">
        <v>115</v>
      </c>
      <c r="G7" s="473">
        <v>1</v>
      </c>
      <c r="H7" s="295"/>
      <c r="I7" s="317" t="s">
        <v>354</v>
      </c>
      <c r="J7" s="722" t="s">
        <v>490</v>
      </c>
      <c r="K7" s="723"/>
      <c r="L7" s="723"/>
      <c r="M7" s="723"/>
      <c r="N7" s="723"/>
      <c r="O7" s="723"/>
      <c r="P7" s="723"/>
    </row>
    <row r="8" spans="1:16" s="229" customFormat="1" ht="14.25" customHeight="1" x14ac:dyDescent="0.15">
      <c r="B8" s="294"/>
      <c r="C8" s="315">
        <f>'1. Facility'!B9</f>
        <v>2</v>
      </c>
      <c r="D8" s="316" t="str">
        <f t="shared" si="0"/>
        <v/>
      </c>
      <c r="E8" s="294"/>
      <c r="F8" s="211" t="s">
        <v>78</v>
      </c>
      <c r="G8" s="473">
        <v>21</v>
      </c>
      <c r="H8" s="295"/>
      <c r="I8" s="319"/>
      <c r="J8" s="319"/>
      <c r="K8" s="319"/>
      <c r="L8" s="319"/>
      <c r="M8" s="319"/>
      <c r="N8" s="319"/>
      <c r="O8" s="319"/>
      <c r="P8" s="319"/>
    </row>
    <row r="9" spans="1:16" s="229" customFormat="1" ht="12" customHeight="1" x14ac:dyDescent="0.15">
      <c r="B9" s="294"/>
      <c r="C9" s="315">
        <f>'1. Facility'!B10</f>
        <v>3</v>
      </c>
      <c r="D9" s="316" t="str">
        <f t="shared" si="0"/>
        <v/>
      </c>
      <c r="E9" s="294"/>
      <c r="F9" s="211" t="s">
        <v>79</v>
      </c>
      <c r="G9" s="473">
        <v>310</v>
      </c>
      <c r="H9" s="295"/>
      <c r="I9" s="317" t="s">
        <v>355</v>
      </c>
      <c r="J9" s="722" t="s">
        <v>356</v>
      </c>
      <c r="K9" s="723"/>
      <c r="L9" s="723"/>
      <c r="M9" s="723"/>
      <c r="N9" s="723"/>
      <c r="O9" s="723"/>
      <c r="P9" s="319"/>
    </row>
    <row r="10" spans="1:16" s="229" customFormat="1" ht="12" customHeight="1" x14ac:dyDescent="0.15">
      <c r="B10" s="294"/>
      <c r="C10" s="315">
        <f>'1. Facility'!B11</f>
        <v>4</v>
      </c>
      <c r="D10" s="316" t="str">
        <f t="shared" si="0"/>
        <v/>
      </c>
      <c r="E10" s="294"/>
      <c r="F10" s="122"/>
      <c r="G10" s="295"/>
      <c r="H10" s="295"/>
      <c r="I10" s="318"/>
      <c r="J10" s="722" t="s">
        <v>650</v>
      </c>
      <c r="K10" s="687"/>
      <c r="L10" s="687"/>
      <c r="M10" s="687"/>
      <c r="N10" s="687"/>
      <c r="O10" s="687"/>
      <c r="P10" s="687"/>
    </row>
    <row r="11" spans="1:16" s="229" customFormat="1" ht="12" customHeight="1" x14ac:dyDescent="0.15">
      <c r="B11" s="294"/>
      <c r="C11" s="315">
        <f>'1. Facility'!B12</f>
        <v>5</v>
      </c>
      <c r="D11" s="316" t="str">
        <f t="shared" si="0"/>
        <v/>
      </c>
      <c r="E11" s="294"/>
      <c r="F11" s="691" t="s">
        <v>365</v>
      </c>
      <c r="G11" s="692"/>
      <c r="H11" s="295"/>
      <c r="I11" s="319"/>
      <c r="J11" s="725" t="s">
        <v>651</v>
      </c>
      <c r="K11" s="725"/>
      <c r="L11" s="725"/>
      <c r="M11" s="725"/>
      <c r="N11" s="725"/>
      <c r="O11" s="725"/>
      <c r="P11" s="319"/>
    </row>
    <row r="12" spans="1:16" s="229" customFormat="1" ht="12" customHeight="1" x14ac:dyDescent="0.15">
      <c r="B12" s="294"/>
      <c r="C12" s="315">
        <f>'1. Facility'!B13</f>
        <v>6</v>
      </c>
      <c r="D12" s="316" t="str">
        <f t="shared" si="0"/>
        <v/>
      </c>
      <c r="E12" s="294"/>
      <c r="F12" s="104" t="s">
        <v>360</v>
      </c>
      <c r="G12" s="105" t="s">
        <v>359</v>
      </c>
      <c r="H12" s="295"/>
      <c r="I12" s="319"/>
      <c r="J12" s="725" t="s">
        <v>655</v>
      </c>
      <c r="K12" s="725"/>
      <c r="L12" s="725"/>
      <c r="M12" s="725"/>
      <c r="N12" s="725"/>
      <c r="O12" s="725"/>
      <c r="P12" s="319"/>
    </row>
    <row r="13" spans="1:16" s="229" customFormat="1" ht="12" customHeight="1" x14ac:dyDescent="0.15">
      <c r="B13" s="294"/>
      <c r="C13" s="315">
        <f>'1. Facility'!B14</f>
        <v>7</v>
      </c>
      <c r="D13" s="316" t="str">
        <f t="shared" si="0"/>
        <v/>
      </c>
      <c r="E13" s="294"/>
      <c r="F13" s="104" t="s">
        <v>361</v>
      </c>
      <c r="G13" s="106" t="s">
        <v>362</v>
      </c>
      <c r="H13" s="295"/>
      <c r="I13" s="319"/>
      <c r="J13" s="725" t="s">
        <v>652</v>
      </c>
      <c r="K13" s="725"/>
      <c r="L13" s="725"/>
      <c r="M13" s="725"/>
      <c r="N13" s="725"/>
      <c r="O13" s="725"/>
      <c r="P13" s="319"/>
    </row>
    <row r="14" spans="1:16" s="229" customFormat="1" ht="12" customHeight="1" x14ac:dyDescent="0.15">
      <c r="B14" s="294"/>
      <c r="C14" s="315">
        <f>'1. Facility'!B15</f>
        <v>8</v>
      </c>
      <c r="D14" s="316" t="str">
        <f t="shared" si="0"/>
        <v/>
      </c>
      <c r="E14" s="294"/>
      <c r="F14" s="104" t="s">
        <v>363</v>
      </c>
      <c r="G14" s="107" t="s">
        <v>364</v>
      </c>
      <c r="H14" s="295"/>
      <c r="I14" s="319"/>
      <c r="J14" s="319"/>
      <c r="K14" s="319"/>
      <c r="L14" s="319"/>
      <c r="M14" s="319"/>
      <c r="N14" s="319"/>
      <c r="O14" s="319"/>
      <c r="P14" s="319"/>
    </row>
    <row r="15" spans="1:16" s="229" customFormat="1" ht="12" customHeight="1" x14ac:dyDescent="0.15">
      <c r="B15" s="294"/>
      <c r="C15" s="315">
        <f>'1. Facility'!B16</f>
        <v>9</v>
      </c>
      <c r="D15" s="316" t="str">
        <f t="shared" si="0"/>
        <v/>
      </c>
      <c r="E15" s="294"/>
      <c r="F15" s="104" t="s">
        <v>366</v>
      </c>
      <c r="G15" s="104" t="s">
        <v>367</v>
      </c>
      <c r="H15" s="295"/>
      <c r="I15" s="317" t="s">
        <v>357</v>
      </c>
      <c r="J15" s="722" t="s">
        <v>358</v>
      </c>
      <c r="K15" s="723"/>
      <c r="L15" s="723"/>
      <c r="M15" s="723"/>
      <c r="N15" s="723"/>
      <c r="O15" s="723"/>
      <c r="P15" s="319"/>
    </row>
    <row r="16" spans="1:16" s="229" customFormat="1" ht="12" customHeight="1" x14ac:dyDescent="0.15">
      <c r="B16" s="294"/>
      <c r="C16" s="315">
        <f>'1. Facility'!B17</f>
        <v>10</v>
      </c>
      <c r="D16" s="316" t="str">
        <f t="shared" si="0"/>
        <v/>
      </c>
      <c r="E16" s="294"/>
      <c r="F16" s="319"/>
      <c r="G16" s="319"/>
      <c r="H16" s="295"/>
      <c r="I16" s="318"/>
      <c r="J16" s="722" t="s">
        <v>689</v>
      </c>
      <c r="K16" s="698"/>
      <c r="L16" s="698"/>
      <c r="M16" s="698"/>
      <c r="N16" s="698"/>
      <c r="O16" s="698"/>
      <c r="P16" s="319"/>
    </row>
    <row r="17" spans="1:30" s="229" customFormat="1" ht="60" customHeight="1" x14ac:dyDescent="0.15">
      <c r="B17" s="294"/>
      <c r="C17" s="294"/>
      <c r="D17" s="294"/>
      <c r="E17" s="294"/>
      <c r="F17" s="462" t="s">
        <v>682</v>
      </c>
      <c r="G17" s="461"/>
      <c r="H17" s="461"/>
      <c r="I17" s="295"/>
      <c r="J17" s="295"/>
      <c r="K17" s="295"/>
      <c r="L17" s="295"/>
      <c r="M17" s="295"/>
    </row>
    <row r="18" spans="1:30" s="229" customFormat="1" ht="12" customHeight="1" x14ac:dyDescent="0.15">
      <c r="B18" s="320"/>
      <c r="C18" s="320"/>
      <c r="D18" s="738" t="s">
        <v>33</v>
      </c>
      <c r="E18" s="738"/>
      <c r="F18" s="321" t="s">
        <v>34</v>
      </c>
      <c r="G18" s="322"/>
      <c r="H18" s="322"/>
      <c r="I18" s="322"/>
      <c r="J18" s="322"/>
      <c r="K18" s="322"/>
      <c r="L18" s="322"/>
      <c r="M18" s="322"/>
      <c r="N18" s="717" t="s">
        <v>35</v>
      </c>
      <c r="O18" s="717"/>
      <c r="P18" s="323"/>
    </row>
    <row r="19" spans="1:30" s="327" customFormat="1" ht="18" customHeight="1" x14ac:dyDescent="0.15">
      <c r="A19" s="324"/>
      <c r="B19" s="325" t="s">
        <v>8</v>
      </c>
      <c r="C19" s="325" t="s">
        <v>9</v>
      </c>
      <c r="D19" s="325" t="s">
        <v>13</v>
      </c>
      <c r="E19" s="325" t="s">
        <v>38</v>
      </c>
      <c r="F19" s="326" t="s">
        <v>10</v>
      </c>
      <c r="G19" s="326" t="s">
        <v>14</v>
      </c>
      <c r="H19" s="326" t="s">
        <v>11</v>
      </c>
      <c r="I19" s="326" t="s">
        <v>56</v>
      </c>
      <c r="J19" s="326" t="s">
        <v>12</v>
      </c>
      <c r="K19" s="326" t="s">
        <v>15</v>
      </c>
      <c r="L19" s="326" t="s">
        <v>39</v>
      </c>
      <c r="M19" s="326" t="s">
        <v>40</v>
      </c>
      <c r="N19" s="326" t="s">
        <v>41</v>
      </c>
      <c r="O19" s="326" t="s">
        <v>57</v>
      </c>
      <c r="P19" s="326" t="s">
        <v>42</v>
      </c>
    </row>
    <row r="20" spans="1:30" ht="26.25" customHeight="1" x14ac:dyDescent="0.15">
      <c r="B20" s="714" t="s">
        <v>83</v>
      </c>
      <c r="C20" s="726" t="s">
        <v>49</v>
      </c>
      <c r="D20" s="731" t="s">
        <v>193</v>
      </c>
      <c r="E20" s="732"/>
      <c r="F20" s="714" t="s">
        <v>54</v>
      </c>
      <c r="G20" s="714" t="s">
        <v>88</v>
      </c>
      <c r="H20" s="714" t="s">
        <v>89</v>
      </c>
      <c r="I20" s="714" t="s">
        <v>86</v>
      </c>
      <c r="J20" s="714" t="s">
        <v>347</v>
      </c>
      <c r="K20" s="714" t="s">
        <v>87</v>
      </c>
      <c r="L20" s="743" t="s">
        <v>346</v>
      </c>
      <c r="M20" s="743" t="s">
        <v>348</v>
      </c>
      <c r="N20" s="718" t="s">
        <v>28</v>
      </c>
      <c r="O20" s="720" t="s">
        <v>76</v>
      </c>
      <c r="P20" s="742" t="s">
        <v>75</v>
      </c>
    </row>
    <row r="21" spans="1:30" ht="77.25" customHeight="1" x14ac:dyDescent="0.15">
      <c r="B21" s="729"/>
      <c r="C21" s="727"/>
      <c r="D21" s="733"/>
      <c r="E21" s="734"/>
      <c r="F21" s="715"/>
      <c r="G21" s="715"/>
      <c r="H21" s="715"/>
      <c r="I21" s="715"/>
      <c r="J21" s="715"/>
      <c r="K21" s="715"/>
      <c r="L21" s="715"/>
      <c r="M21" s="744"/>
      <c r="N21" s="719"/>
      <c r="O21" s="719"/>
      <c r="P21" s="719"/>
    </row>
    <row r="22" spans="1:30" ht="101.25" customHeight="1" x14ac:dyDescent="0.15">
      <c r="B22" s="729"/>
      <c r="C22" s="727"/>
      <c r="D22" s="733"/>
      <c r="E22" s="734"/>
      <c r="F22" s="329" t="s">
        <v>55</v>
      </c>
      <c r="G22" s="409" t="s">
        <v>656</v>
      </c>
      <c r="H22" s="329" t="s">
        <v>510</v>
      </c>
      <c r="I22" s="409" t="s">
        <v>657</v>
      </c>
      <c r="J22" s="329" t="s">
        <v>353</v>
      </c>
      <c r="K22" s="409" t="s">
        <v>657</v>
      </c>
      <c r="L22" s="330" t="s">
        <v>352</v>
      </c>
      <c r="M22" s="330" t="s">
        <v>349</v>
      </c>
      <c r="N22" s="719"/>
      <c r="O22" s="719"/>
      <c r="P22" s="719"/>
    </row>
    <row r="23" spans="1:30" ht="60" customHeight="1" x14ac:dyDescent="0.15">
      <c r="B23" s="730"/>
      <c r="C23" s="728"/>
      <c r="D23" s="735"/>
      <c r="E23" s="736"/>
      <c r="F23" s="329" t="s">
        <v>85</v>
      </c>
      <c r="G23" s="331" t="s">
        <v>509</v>
      </c>
      <c r="H23" s="331" t="s">
        <v>658</v>
      </c>
      <c r="I23" s="331" t="s">
        <v>511</v>
      </c>
      <c r="J23" s="331" t="s">
        <v>659</v>
      </c>
      <c r="K23" s="331" t="s">
        <v>511</v>
      </c>
      <c r="L23" s="332" t="s">
        <v>660</v>
      </c>
      <c r="M23" s="332" t="s">
        <v>661</v>
      </c>
      <c r="N23" s="611"/>
      <c r="O23" s="611"/>
      <c r="P23" s="611"/>
    </row>
    <row r="24" spans="1:30" s="334" customFormat="1" ht="22.5" customHeight="1" x14ac:dyDescent="0.15">
      <c r="A24" s="333"/>
      <c r="B24" s="417">
        <f>C7</f>
        <v>1</v>
      </c>
      <c r="C24" s="8"/>
      <c r="D24" s="8"/>
      <c r="E24" s="8" t="s">
        <v>686</v>
      </c>
      <c r="F24" s="509">
        <v>2352684</v>
      </c>
      <c r="G24" s="410">
        <v>805</v>
      </c>
      <c r="H24" s="39">
        <f>IF(F24&gt;0, (F24/1000)*G24/2000,"")</f>
        <v>946.95531000000005</v>
      </c>
      <c r="I24" s="413">
        <v>87</v>
      </c>
      <c r="J24" s="38">
        <f>IF(F24&gt;0, (F24/1000000)*I24*$G$8/2000,"")</f>
        <v>2.1491768339999999</v>
      </c>
      <c r="K24" s="413">
        <v>11</v>
      </c>
      <c r="L24" s="38">
        <f>IF(F24&gt;0,(F24/1000000)*K24*$G$9/2000,"")</f>
        <v>4.0113262199999999</v>
      </c>
      <c r="M24" s="38">
        <f>IF(F24&gt;0, H24+J24+L24,"")</f>
        <v>953.115813054</v>
      </c>
      <c r="N24" s="9"/>
      <c r="O24" s="9"/>
      <c r="P24" s="9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</row>
    <row r="25" spans="1:30" s="334" customFormat="1" ht="19.5" customHeight="1" x14ac:dyDescent="0.15">
      <c r="A25" s="333"/>
      <c r="B25" s="417">
        <f t="shared" ref="B25:B33" si="1">C8</f>
        <v>2</v>
      </c>
      <c r="C25" s="8"/>
      <c r="D25" s="8"/>
      <c r="E25" s="8"/>
      <c r="F25" s="8"/>
      <c r="G25" s="410">
        <f>'6c. eGRID2007 Data'!G32</f>
        <v>805.3</v>
      </c>
      <c r="H25" s="39" t="str">
        <f>IF(F25&gt;0, (F25/1000)*G25/2000,"")</f>
        <v/>
      </c>
      <c r="I25" s="413">
        <f>'6c. eGRID2007 Data'!H32</f>
        <v>87</v>
      </c>
      <c r="J25" s="38" t="str">
        <f>IF(F25&gt;0, (F25/1000000)*I25*$G$8/2000,"")</f>
        <v/>
      </c>
      <c r="K25" s="413">
        <f>'6c. eGRID2007 Data'!I25</f>
        <v>20</v>
      </c>
      <c r="L25" s="38" t="str">
        <f>IF(F25&gt;0,(F25/1000000)*K25*$G$9/2000,"")</f>
        <v/>
      </c>
      <c r="M25" s="38" t="str">
        <f t="shared" ref="M25:M32" si="2">IF(F25&gt;0, H25+J25+L25,"")</f>
        <v/>
      </c>
      <c r="N25" s="9"/>
      <c r="O25" s="9"/>
      <c r="P25" s="9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</row>
    <row r="26" spans="1:30" s="334" customFormat="1" ht="19.5" customHeight="1" x14ac:dyDescent="0.15">
      <c r="A26" s="333"/>
      <c r="B26" s="417">
        <f t="shared" si="1"/>
        <v>3</v>
      </c>
      <c r="C26" s="8"/>
      <c r="D26" s="8"/>
      <c r="E26" s="8"/>
      <c r="F26" s="8"/>
      <c r="G26" s="410">
        <f>'6c. eGRID2007 Data'!G32</f>
        <v>805.3</v>
      </c>
      <c r="H26" s="39" t="str">
        <f>IF(F26&gt;0, (F26/1000)*G26/2000,"")</f>
        <v/>
      </c>
      <c r="I26" s="413">
        <f>'6c. eGRID2007 Data'!H32</f>
        <v>87</v>
      </c>
      <c r="J26" s="38" t="str">
        <f>IF(F26&gt;0, (F26/1000000)*I26*$G$8/2000,"")</f>
        <v/>
      </c>
      <c r="K26" s="413">
        <f>'6c. eGRID2007 Data'!I26</f>
        <v>22</v>
      </c>
      <c r="L26" s="38" t="str">
        <f>IF(F26&gt;0,(F26/1000000)*K26*$G$9/2000,"")</f>
        <v/>
      </c>
      <c r="M26" s="38" t="str">
        <f t="shared" si="2"/>
        <v/>
      </c>
      <c r="N26" s="9"/>
      <c r="O26" s="9"/>
      <c r="P26" s="9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</row>
    <row r="27" spans="1:30" s="334" customFormat="1" ht="19.5" customHeight="1" x14ac:dyDescent="0.15">
      <c r="A27" s="333"/>
      <c r="B27" s="417">
        <f t="shared" si="1"/>
        <v>4</v>
      </c>
      <c r="C27" s="8"/>
      <c r="D27" s="8"/>
      <c r="E27" s="8"/>
      <c r="F27" s="8"/>
      <c r="G27" s="410">
        <f>'6c. eGRID2007 Data'!G22</f>
        <v>758.2</v>
      </c>
      <c r="H27" s="39" t="str">
        <f>IF(F27&gt;0, (F27/1000)*G27/2000,"")</f>
        <v/>
      </c>
      <c r="I27" s="413">
        <f>'6c. eGRID2007 Data'!H22</f>
        <v>50</v>
      </c>
      <c r="J27" s="38" t="str">
        <f>IF(F27&gt;0, (F27/1000000)*I27*$G$8/2000,"")</f>
        <v/>
      </c>
      <c r="K27" s="413">
        <f>'6c. eGRID2007 Data'!I27</f>
        <v>15</v>
      </c>
      <c r="L27" s="38" t="str">
        <f>IF(F27&gt;0,(F27/1000000)*K27*$G$9/2000,"")</f>
        <v/>
      </c>
      <c r="M27" s="38" t="str">
        <f t="shared" si="2"/>
        <v/>
      </c>
      <c r="N27" s="9"/>
      <c r="O27" s="9"/>
      <c r="P27" s="9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</row>
    <row r="28" spans="1:30" s="334" customFormat="1" ht="20.25" customHeight="1" x14ac:dyDescent="0.15">
      <c r="A28" s="333"/>
      <c r="B28" s="417">
        <f t="shared" si="1"/>
        <v>5</v>
      </c>
      <c r="C28" s="8"/>
      <c r="D28" s="8"/>
      <c r="E28" s="46"/>
      <c r="F28" s="46"/>
      <c r="G28" s="411"/>
      <c r="H28" s="47" t="str">
        <f t="shared" ref="H28:H33" si="3">IF(F28&gt;0, F28*G28/2000,"")</f>
        <v/>
      </c>
      <c r="I28" s="414"/>
      <c r="J28" s="48" t="str">
        <f t="shared" ref="J28:J33" si="4">IF(F28&gt;0, F28*I28*$G$8/2000,"")</f>
        <v/>
      </c>
      <c r="K28" s="414"/>
      <c r="L28" s="48" t="str">
        <f t="shared" ref="L28:L33" si="5">IF(F28&gt;0,F28*K28*$G$9/2000,"")</f>
        <v/>
      </c>
      <c r="M28" s="48" t="str">
        <f t="shared" si="2"/>
        <v/>
      </c>
      <c r="N28" s="9"/>
      <c r="O28" s="9"/>
      <c r="P28" s="9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</row>
    <row r="29" spans="1:30" s="334" customFormat="1" ht="20.25" customHeight="1" x14ac:dyDescent="0.15">
      <c r="A29" s="333"/>
      <c r="B29" s="417">
        <f t="shared" si="1"/>
        <v>6</v>
      </c>
      <c r="C29" s="8"/>
      <c r="D29" s="8"/>
      <c r="E29" s="46"/>
      <c r="F29" s="46"/>
      <c r="G29" s="411"/>
      <c r="H29" s="47" t="str">
        <f t="shared" si="3"/>
        <v/>
      </c>
      <c r="I29" s="414"/>
      <c r="J29" s="48" t="str">
        <f t="shared" si="4"/>
        <v/>
      </c>
      <c r="K29" s="414"/>
      <c r="L29" s="48" t="str">
        <f t="shared" si="5"/>
        <v/>
      </c>
      <c r="M29" s="48" t="str">
        <f t="shared" si="2"/>
        <v/>
      </c>
      <c r="N29" s="9"/>
      <c r="O29" s="9"/>
      <c r="P29" s="9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</row>
    <row r="30" spans="1:30" s="334" customFormat="1" ht="20.25" customHeight="1" x14ac:dyDescent="0.15">
      <c r="A30" s="333"/>
      <c r="B30" s="417">
        <f t="shared" si="1"/>
        <v>7</v>
      </c>
      <c r="C30" s="8"/>
      <c r="D30" s="8"/>
      <c r="E30" s="46"/>
      <c r="F30" s="46"/>
      <c r="G30" s="411"/>
      <c r="H30" s="47" t="str">
        <f t="shared" si="3"/>
        <v/>
      </c>
      <c r="I30" s="414"/>
      <c r="J30" s="48" t="str">
        <f t="shared" si="4"/>
        <v/>
      </c>
      <c r="K30" s="414"/>
      <c r="L30" s="48" t="str">
        <f t="shared" si="5"/>
        <v/>
      </c>
      <c r="M30" s="48" t="str">
        <f t="shared" si="2"/>
        <v/>
      </c>
      <c r="N30" s="9"/>
      <c r="O30" s="9"/>
      <c r="P30" s="9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</row>
    <row r="31" spans="1:30" s="334" customFormat="1" ht="20.25" customHeight="1" x14ac:dyDescent="0.15">
      <c r="A31" s="333"/>
      <c r="B31" s="417">
        <f t="shared" si="1"/>
        <v>8</v>
      </c>
      <c r="C31" s="8"/>
      <c r="D31" s="8"/>
      <c r="E31" s="46"/>
      <c r="F31" s="46"/>
      <c r="G31" s="412"/>
      <c r="H31" s="47" t="str">
        <f t="shared" si="3"/>
        <v/>
      </c>
      <c r="I31" s="414"/>
      <c r="J31" s="48" t="str">
        <f t="shared" si="4"/>
        <v/>
      </c>
      <c r="K31" s="414"/>
      <c r="L31" s="48" t="str">
        <f t="shared" si="5"/>
        <v/>
      </c>
      <c r="M31" s="48" t="str">
        <f t="shared" si="2"/>
        <v/>
      </c>
      <c r="N31" s="9"/>
      <c r="O31" s="9"/>
      <c r="P31" s="9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</row>
    <row r="32" spans="1:30" s="334" customFormat="1" ht="19.5" customHeight="1" x14ac:dyDescent="0.15">
      <c r="A32" s="333"/>
      <c r="B32" s="417">
        <f t="shared" si="1"/>
        <v>9</v>
      </c>
      <c r="C32" s="8"/>
      <c r="D32" s="8"/>
      <c r="E32" s="46"/>
      <c r="F32" s="46"/>
      <c r="G32" s="412"/>
      <c r="H32" s="47" t="str">
        <f t="shared" si="3"/>
        <v/>
      </c>
      <c r="I32" s="414"/>
      <c r="J32" s="48" t="str">
        <f t="shared" si="4"/>
        <v/>
      </c>
      <c r="K32" s="414"/>
      <c r="L32" s="48" t="str">
        <f t="shared" si="5"/>
        <v/>
      </c>
      <c r="M32" s="48" t="str">
        <f t="shared" si="2"/>
        <v/>
      </c>
      <c r="N32" s="9"/>
      <c r="O32" s="9"/>
      <c r="P32" s="9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</row>
    <row r="33" spans="2:31" s="333" customFormat="1" ht="18.75" customHeight="1" x14ac:dyDescent="0.15">
      <c r="B33" s="417">
        <f t="shared" si="1"/>
        <v>10</v>
      </c>
      <c r="C33" s="45"/>
      <c r="D33" s="8"/>
      <c r="E33" s="45"/>
      <c r="F33" s="45"/>
      <c r="G33" s="45"/>
      <c r="H33" s="47" t="str">
        <f t="shared" si="3"/>
        <v/>
      </c>
      <c r="I33" s="45"/>
      <c r="J33" s="48" t="str">
        <f t="shared" si="4"/>
        <v/>
      </c>
      <c r="K33" s="45"/>
      <c r="L33" s="48" t="str">
        <f t="shared" si="5"/>
        <v/>
      </c>
      <c r="M33" s="48" t="str">
        <f>IF(F33&gt;0, H33+J33+L33,"")</f>
        <v/>
      </c>
      <c r="N33" s="9"/>
      <c r="O33" s="9"/>
      <c r="P33" s="9"/>
    </row>
    <row r="34" spans="2:31" s="335" customFormat="1" ht="18.75" customHeight="1" x14ac:dyDescent="0.15">
      <c r="B34" s="336"/>
      <c r="C34" s="336"/>
      <c r="D34" s="745"/>
      <c r="E34" s="739"/>
      <c r="F34" s="739"/>
      <c r="G34" s="749"/>
      <c r="H34" s="750"/>
      <c r="I34" s="751"/>
      <c r="J34" s="751"/>
      <c r="K34" s="716"/>
      <c r="L34" s="716"/>
      <c r="M34" s="339"/>
    </row>
    <row r="35" spans="2:31" s="335" customFormat="1" ht="18.75" customHeight="1" x14ac:dyDescent="0.15">
      <c r="B35" s="336"/>
      <c r="C35" s="336"/>
      <c r="D35" s="745"/>
      <c r="E35" s="739"/>
      <c r="F35" s="739"/>
      <c r="G35" s="746"/>
      <c r="H35" s="747"/>
      <c r="I35" s="746"/>
      <c r="J35" s="747"/>
      <c r="K35" s="746"/>
      <c r="L35" s="748"/>
      <c r="M35" s="340"/>
    </row>
    <row r="36" spans="2:31" s="335" customFormat="1" ht="18.75" customHeight="1" x14ac:dyDescent="0.15">
      <c r="B36" s="336"/>
      <c r="C36" s="336"/>
      <c r="D36" s="745"/>
      <c r="E36" s="739"/>
      <c r="F36" s="739"/>
      <c r="G36" s="749"/>
      <c r="H36" s="750"/>
      <c r="I36" s="751"/>
      <c r="J36" s="751"/>
      <c r="K36" s="716"/>
      <c r="L36" s="716"/>
      <c r="M36" s="339"/>
    </row>
    <row r="37" spans="2:31" s="335" customFormat="1" ht="15" customHeight="1" x14ac:dyDescent="0.15">
      <c r="B37" s="336"/>
      <c r="C37" s="336"/>
      <c r="D37" s="337"/>
      <c r="E37" s="739"/>
      <c r="F37" s="740"/>
      <c r="G37" s="741"/>
      <c r="H37" s="741"/>
      <c r="I37" s="37"/>
      <c r="J37" s="341"/>
      <c r="K37" s="37"/>
      <c r="L37" s="341"/>
      <c r="M37" s="341"/>
    </row>
    <row r="38" spans="2:31" s="335" customFormat="1" ht="15" customHeight="1" x14ac:dyDescent="0.15">
      <c r="B38" s="336"/>
      <c r="C38" s="336"/>
      <c r="D38" s="337"/>
      <c r="E38" s="338"/>
      <c r="F38" s="338"/>
      <c r="G38" s="711"/>
      <c r="H38" s="711"/>
      <c r="I38" s="712"/>
      <c r="J38" s="713"/>
      <c r="K38" s="713"/>
      <c r="L38" s="713"/>
      <c r="M38" s="342"/>
    </row>
    <row r="39" spans="2:31" s="335" customFormat="1" ht="15" customHeight="1" x14ac:dyDescent="0.15">
      <c r="B39" s="336"/>
      <c r="C39" s="336"/>
      <c r="D39" s="337"/>
      <c r="I39" s="37"/>
      <c r="J39" s="341"/>
      <c r="K39" s="37"/>
      <c r="L39" s="341"/>
      <c r="M39" s="341"/>
    </row>
    <row r="40" spans="2:31" s="229" customFormat="1" ht="19.5" customHeight="1" x14ac:dyDescent="0.15">
      <c r="B40" s="343"/>
      <c r="C40" s="343"/>
      <c r="D40" s="343"/>
      <c r="E40" s="343"/>
      <c r="F40" s="343"/>
      <c r="G40" s="343"/>
      <c r="H40" s="343"/>
      <c r="I40" s="343"/>
      <c r="J40" s="343"/>
      <c r="K40" s="343"/>
    </row>
    <row r="41" spans="2:31" s="295" customFormat="1" x14ac:dyDescent="0.15">
      <c r="AE41" s="328"/>
    </row>
    <row r="42" spans="2:31" s="295" customFormat="1" x14ac:dyDescent="0.15">
      <c r="H42" s="344"/>
      <c r="AE42" s="328"/>
    </row>
    <row r="43" spans="2:31" s="295" customFormat="1" x14ac:dyDescent="0.15">
      <c r="AE43" s="328"/>
    </row>
    <row r="44" spans="2:31" s="295" customFormat="1" x14ac:dyDescent="0.15">
      <c r="AE44" s="328"/>
    </row>
    <row r="45" spans="2:31" s="295" customFormat="1" x14ac:dyDescent="0.15">
      <c r="AE45" s="328"/>
    </row>
    <row r="46" spans="2:31" s="295" customFormat="1" x14ac:dyDescent="0.15">
      <c r="AE46" s="328"/>
    </row>
    <row r="47" spans="2:31" s="295" customFormat="1" x14ac:dyDescent="0.15">
      <c r="AE47" s="328"/>
    </row>
    <row r="48" spans="2:31" s="295" customFormat="1" x14ac:dyDescent="0.15">
      <c r="AE48" s="328"/>
    </row>
    <row r="49" spans="31:31" s="295" customFormat="1" x14ac:dyDescent="0.15">
      <c r="AE49" s="328"/>
    </row>
    <row r="50" spans="31:31" s="295" customFormat="1" x14ac:dyDescent="0.15">
      <c r="AE50" s="328"/>
    </row>
    <row r="51" spans="31:31" s="295" customFormat="1" x14ac:dyDescent="0.15">
      <c r="AE51" s="328"/>
    </row>
    <row r="52" spans="31:31" s="295" customFormat="1" x14ac:dyDescent="0.15">
      <c r="AE52" s="328"/>
    </row>
    <row r="53" spans="31:31" s="295" customFormat="1" x14ac:dyDescent="0.15"/>
    <row r="54" spans="31:31" s="295" customFormat="1" x14ac:dyDescent="0.15"/>
    <row r="55" spans="31:31" s="295" customFormat="1" x14ac:dyDescent="0.15"/>
  </sheetData>
  <mergeCells count="49">
    <mergeCell ref="E37:F37"/>
    <mergeCell ref="G37:H37"/>
    <mergeCell ref="P20:P23"/>
    <mergeCell ref="L20:L21"/>
    <mergeCell ref="M20:M21"/>
    <mergeCell ref="K20:K21"/>
    <mergeCell ref="D35:F35"/>
    <mergeCell ref="G35:H35"/>
    <mergeCell ref="I35:J35"/>
    <mergeCell ref="K35:L35"/>
    <mergeCell ref="D36:F36"/>
    <mergeCell ref="G36:H36"/>
    <mergeCell ref="I36:J36"/>
    <mergeCell ref="D34:F34"/>
    <mergeCell ref="G34:H34"/>
    <mergeCell ref="I34:J34"/>
    <mergeCell ref="C20:C23"/>
    <mergeCell ref="J16:O16"/>
    <mergeCell ref="B20:B23"/>
    <mergeCell ref="A2:E2"/>
    <mergeCell ref="D20:E23"/>
    <mergeCell ref="A3:F3"/>
    <mergeCell ref="C5:D5"/>
    <mergeCell ref="D18:E18"/>
    <mergeCell ref="F5:G5"/>
    <mergeCell ref="F11:G11"/>
    <mergeCell ref="F20:F21"/>
    <mergeCell ref="G20:G21"/>
    <mergeCell ref="I1:P1"/>
    <mergeCell ref="A1:G1"/>
    <mergeCell ref="J15:O15"/>
    <mergeCell ref="J10:P10"/>
    <mergeCell ref="I5:P6"/>
    <mergeCell ref="J7:P7"/>
    <mergeCell ref="J9:O9"/>
    <mergeCell ref="J11:O11"/>
    <mergeCell ref="J12:O12"/>
    <mergeCell ref="A4:C4"/>
    <mergeCell ref="J13:O13"/>
    <mergeCell ref="G38:H38"/>
    <mergeCell ref="I38:L38"/>
    <mergeCell ref="J20:J21"/>
    <mergeCell ref="K36:L36"/>
    <mergeCell ref="N18:O18"/>
    <mergeCell ref="N20:N23"/>
    <mergeCell ref="O20:O23"/>
    <mergeCell ref="K34:L34"/>
    <mergeCell ref="H20:H21"/>
    <mergeCell ref="I20:I21"/>
  </mergeCells>
  <phoneticPr fontId="5" type="noConversion"/>
  <pageMargins left="0.25" right="0.25" top="0.75" bottom="0.75" header="0.5" footer="0.5"/>
  <pageSetup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5"/>
  <sheetViews>
    <sheetView workbookViewId="0">
      <selection activeCell="I24" sqref="I24"/>
    </sheetView>
  </sheetViews>
  <sheetFormatPr baseColWidth="10" defaultColWidth="8.83203125" defaultRowHeight="13" x14ac:dyDescent="0.15"/>
  <cols>
    <col min="8" max="8" width="57.83203125" customWidth="1"/>
  </cols>
  <sheetData>
    <row r="1" spans="1:16" ht="16" x14ac:dyDescent="0.2">
      <c r="A1" s="29" t="s">
        <v>329</v>
      </c>
    </row>
    <row r="2" spans="1:16" ht="16" x14ac:dyDescent="0.2">
      <c r="A2" s="503" t="s">
        <v>756</v>
      </c>
      <c r="H2" s="752" t="s">
        <v>683</v>
      </c>
      <c r="I2" s="753"/>
      <c r="J2" s="753"/>
      <c r="K2" s="754"/>
    </row>
    <row r="3" spans="1:16" ht="15" customHeight="1" x14ac:dyDescent="0.2">
      <c r="A3" s="503" t="s">
        <v>755</v>
      </c>
      <c r="H3" s="669"/>
      <c r="I3" s="669"/>
      <c r="J3" s="669"/>
      <c r="K3" s="669"/>
      <c r="L3" s="669"/>
      <c r="M3" s="669"/>
      <c r="N3" s="669"/>
      <c r="O3" s="669"/>
      <c r="P3" s="669"/>
    </row>
    <row r="25" spans="17:17" x14ac:dyDescent="0.15">
      <c r="Q25" t="s">
        <v>345</v>
      </c>
    </row>
  </sheetData>
  <mergeCells count="2">
    <mergeCell ref="H3:P3"/>
    <mergeCell ref="H2:K2"/>
  </mergeCells>
  <phoneticPr fontId="5" type="noConversion"/>
  <hyperlinks>
    <hyperlink ref="H2" r:id="rId1" xr:uid="{00000000-0004-0000-0800-000000000000}"/>
  </hyperlinks>
  <pageMargins left="0.75" right="0.75" top="1" bottom="1" header="0.5" footer="0.5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868EA60D8684EB1CFADC62D03B33F" ma:contentTypeVersion="8" ma:contentTypeDescription="Create a new document." ma:contentTypeScope="" ma:versionID="0995a2f03f0cbe90f6b0b605eb8185d0">
  <xsd:schema xmlns:xsd="http://www.w3.org/2001/XMLSchema" xmlns:xs="http://www.w3.org/2001/XMLSchema" xmlns:p="http://schemas.microsoft.com/office/2006/metadata/properties" xmlns:ns2="5d0e0962-72c5-4ab9-aa61-65c381867748" targetNamespace="http://schemas.microsoft.com/office/2006/metadata/properties" ma:root="true" ma:fieldsID="4e7a3f8ed927caddb4ce47dc7411bf35" ns2:_="">
    <xsd:import namespace="5d0e0962-72c5-4ab9-aa61-65c381867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e0962-72c5-4ab9-aa61-65c3818677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CE8C22-17F3-4CEA-95A5-47E0702C1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DBB689-1791-415B-9050-1557A98F9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e0962-72c5-4ab9-aa61-65c381867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17247-7CC4-4592-9C92-BC5D8BA92C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1. Facility</vt:lpstr>
      <vt:lpstr>2. Report</vt:lpstr>
      <vt:lpstr>3a. Mobile Sources</vt:lpstr>
      <vt:lpstr>3b. Mobile Source Factors</vt:lpstr>
      <vt:lpstr>4a. Stationary  Combustion</vt:lpstr>
      <vt:lpstr>4b. Stationary Comb. Factors</vt:lpstr>
      <vt:lpstr>5. Blasting-Tier C</vt:lpstr>
      <vt:lpstr>6a. Purchased Power Tier B</vt:lpstr>
      <vt:lpstr>6b. eGRID Map</vt:lpstr>
      <vt:lpstr>6c. eGRID2007 Data</vt:lpstr>
      <vt:lpstr>7a. HFC, PFC Tier C Screen</vt:lpstr>
      <vt:lpstr>7B HFC, PFC GWPs</vt:lpstr>
      <vt:lpstr>7C GWPs Blends</vt:lpstr>
      <vt:lpstr>'1. Facility'!Print_Area</vt:lpstr>
      <vt:lpstr>'2. Report'!Print_Area</vt:lpstr>
      <vt:lpstr>'6a. Purchased Power Tier B'!Print_Area</vt:lpstr>
      <vt:lpstr>'2. Report'!Print_Titles</vt:lpstr>
    </vt:vector>
  </TitlesOfParts>
  <Company>Air Control Techniques, P.C.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johnr</dc:creator>
  <cp:lastModifiedBy>Beth Yezzi</cp:lastModifiedBy>
  <cp:lastPrinted>2020-02-14T14:27:35Z</cp:lastPrinted>
  <dcterms:created xsi:type="dcterms:W3CDTF">2008-10-04T11:42:35Z</dcterms:created>
  <dcterms:modified xsi:type="dcterms:W3CDTF">2021-06-01T18:53:34Z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0x010100389868EA60D8684EB1CFADC62D03B33F</vt:lpwstr>
  </property>
</Properties>
</file>